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0" yWindow="60" windowWidth="9555" windowHeight="12450"/>
  </bookViews>
  <sheets>
    <sheet name="Scoresheet" sheetId="1" r:id="rId1"/>
    <sheet name="References" sheetId="8" r:id="rId2"/>
    <sheet name="LocationList" sheetId="5" state="hidden" r:id="rId3"/>
  </sheets>
  <definedNames>
    <definedName name="_xlnm._FilterDatabase" localSheetId="2" hidden="1">LocationList!$A$3:$E$3</definedName>
    <definedName name="Align">References!$B$4</definedName>
    <definedName name="EA1.1">Scoresheet!$D$68</definedName>
    <definedName name="EA2.1">Scoresheet!$D$88</definedName>
    <definedName name="EA3.1">Scoresheet!$D$96</definedName>
    <definedName name="EA4.1">Scoresheet!$D$97</definedName>
    <definedName name="EA5.1">Scoresheet!$D$98</definedName>
    <definedName name="EAPR1">Scoresheet!$D$65</definedName>
    <definedName name="EAPR2">Scoresheet!$D$66</definedName>
    <definedName name="EAPR3">Scoresheet!$D$67</definedName>
    <definedName name="EQ3.1">Scoresheet!$D$126</definedName>
    <definedName name="EQ3.2">Scoresheet!$D$127</definedName>
    <definedName name="EQ4.1">Scoresheet!$D$128</definedName>
    <definedName name="EQ6.1">Scoresheet!$D$133</definedName>
    <definedName name="EQ7.1">Scoresheet!$D$135</definedName>
    <definedName name="EQ8.1">Scoresheet!$D$137</definedName>
    <definedName name="EQPR1">Scoresheet!$D$122</definedName>
    <definedName name="EQPR2">Scoresheet!$D$123</definedName>
    <definedName name="HPSBI.1">Scoresheet!$B$164</definedName>
    <definedName name="HPSBI.1_Ref">References!$A$8</definedName>
    <definedName name="HPSBI.2">Scoresheet!$B$165</definedName>
    <definedName name="HPSBI.2_Ref">References!$A$12</definedName>
    <definedName name="HPSBII.1">Scoresheet!$B$168</definedName>
    <definedName name="HPSBII.1_Ref">References!$A$17</definedName>
    <definedName name="HPSBII.2">Scoresheet!$B$173</definedName>
    <definedName name="HPSBII.2_Ref">References!$A$21</definedName>
    <definedName name="HPSBII.3">Scoresheet!$B$174</definedName>
    <definedName name="HPSBII.3_Ref">References!$A$25</definedName>
    <definedName name="HPSBII.4">Scoresheet!$B$178</definedName>
    <definedName name="HPSBII.4_Ref">References!$A$29</definedName>
    <definedName name="HPSBII.5">Scoresheet!$B$183</definedName>
    <definedName name="HPSBII.5_Ref">References!$A$33</definedName>
    <definedName name="HPSBII.6">Scoresheet!$B$187</definedName>
    <definedName name="HPSBII.6_Ref">References!$A$37</definedName>
    <definedName name="HPSBIII.1">Scoresheet!$B$192</definedName>
    <definedName name="HPSBIII.1_Ref">References!$A$50</definedName>
    <definedName name="HPSBIII.2">Scoresheet!$B$194</definedName>
    <definedName name="HPSBIII.2_Ref">References!$A$54</definedName>
    <definedName name="HPSBIII.3">Scoresheet!$B$195</definedName>
    <definedName name="HPSBIII.3_Ref">References!$A$58</definedName>
    <definedName name="HPSBIII.4">Scoresheet!$B$196</definedName>
    <definedName name="HPSBIII.4_Ref">References!$A$62</definedName>
    <definedName name="HPSBIII.5">Scoresheet!$B$197</definedName>
    <definedName name="HPSBIII.5_Ref">References!$A$66</definedName>
    <definedName name="HPSBIII.6">Scoresheet!$B$200</definedName>
    <definedName name="HPSBIII.6_Ref">References!$A$70</definedName>
    <definedName name="HPSBIII.7">Scoresheet!$B$201</definedName>
    <definedName name="HPSBIII.7_Ref">References!$A$74</definedName>
    <definedName name="HPSBIV.1">Scoresheet!$B$204</definedName>
    <definedName name="HPSBIV.1_Ref">References!$A$79</definedName>
    <definedName name="HPSBIV.2">Scoresheet!$B$205</definedName>
    <definedName name="HPSBIV.2_Ref">References!$A$83</definedName>
    <definedName name="HPSBIV.3">Scoresheet!$B$206</definedName>
    <definedName name="HPSBIV.3_Ref">References!$A$87</definedName>
    <definedName name="HPSBIV.4">Scoresheet!$B$207</definedName>
    <definedName name="HPSBIV.4_Ref">References!$A$91</definedName>
    <definedName name="HPSBIV.5">Scoresheet!$B$208</definedName>
    <definedName name="HPSBIV.5_Ref">References!$A$95</definedName>
    <definedName name="HPSBIV.6">Scoresheet!$B$209</definedName>
    <definedName name="HPSBIV.6_Ref">References!$A$99</definedName>
    <definedName name="HPSBIV.7">Scoresheet!$B$210</definedName>
    <definedName name="HPSBIV.7_Ref">References!$A$103</definedName>
    <definedName name="HPSBIV.8">Scoresheet!$B$211</definedName>
    <definedName name="HPSBIV.8_Ref">References!$A$107</definedName>
    <definedName name="HPSBIV.9">Scoresheet!$B$212</definedName>
    <definedName name="HPSBIV.9_Ref">References!$A$111</definedName>
    <definedName name="HPSBV.1">Scoresheet!$B$215</definedName>
    <definedName name="HPSBV.1_Ref">References!$A$116</definedName>
    <definedName name="HPSBV.2">Scoresheet!$B$216</definedName>
    <definedName name="HPSBV.2_Ref">References!$A$120</definedName>
    <definedName name="HPSBV.3">Scoresheet!$B$217</definedName>
    <definedName name="HPSBV.3_Ref">References!$A$124</definedName>
    <definedName name="HPSBV.4">Scoresheet!$B$218</definedName>
    <definedName name="HPSBV.4_Ref">References!$A$128</definedName>
    <definedName name="HPSBV.5">Scoresheet!$B$219</definedName>
    <definedName name="HPSBV.5_Ref">References!$A$132</definedName>
    <definedName name="HPSBV.6">Scoresheet!$B$220</definedName>
    <definedName name="HPSBV.6_Ref">References!$A$136</definedName>
    <definedName name="Installation">LocationList!$B$4:$B$90</definedName>
    <definedName name="Installations">LocationList!$A$1:$E$91</definedName>
    <definedName name="Levels">LocationList!$C$208:$C$211</definedName>
    <definedName name="Meet">References!$B$5</definedName>
    <definedName name="MR2.1">Scoresheet!$D$108</definedName>
    <definedName name="MR4.1">Scoresheet!$D$113</definedName>
    <definedName name="MR4.2">Scoresheet!$D$114</definedName>
    <definedName name="MR6.1">Scoresheet!$D$118</definedName>
    <definedName name="MRPR1">Scoresheet!$D$102</definedName>
    <definedName name="OtherII.7">Scoresheet!$B$188</definedName>
    <definedName name="OtherII.7_Ref">References!$A$41</definedName>
    <definedName name="OtherII.8">Scoresheet!$B$189</definedName>
    <definedName name="OtherII.8_Ref">References!$A$45</definedName>
    <definedName name="_xlnm.Print_Area" localSheetId="0">Scoresheet!$A$1:$F$225</definedName>
    <definedName name="_xlnm.Print_Titles" localSheetId="0">Scoresheet!$1:$2</definedName>
    <definedName name="SS6.1">Scoresheet!$D$48</definedName>
    <definedName name="SS6.2">Scoresheet!$D$49</definedName>
    <definedName name="SSPR1">Scoresheet!$D$38</definedName>
    <definedName name="WE1.1">Scoresheet!$D$56</definedName>
    <definedName name="WE1.2">Scoresheet!$D$57</definedName>
    <definedName name="WE3.1">Scoresheet!$D$59</definedName>
    <definedName name="WEPR1">Scoresheet!$D$55</definedName>
  </definedNames>
  <calcPr calcId="125725" fullCalcOnLoad="1"/>
</workbook>
</file>

<file path=xl/calcChain.xml><?xml version="1.0" encoding="utf-8"?>
<calcChain xmlns="http://schemas.openxmlformats.org/spreadsheetml/2006/main">
  <c r="F214" i="1"/>
  <c r="F203"/>
  <c r="F221"/>
  <c r="F191"/>
  <c r="D189"/>
  <c r="D188"/>
  <c r="D187"/>
  <c r="F167"/>
  <c r="F163"/>
  <c r="F148"/>
  <c r="F140"/>
  <c r="F153"/>
  <c r="F121"/>
  <c r="F101"/>
  <c r="F64"/>
  <c r="F54"/>
  <c r="F37"/>
  <c r="D34"/>
  <c r="D33"/>
  <c r="A14" i="8"/>
  <c r="A19"/>
  <c r="A31"/>
  <c r="A35"/>
  <c r="A52"/>
  <c r="A53"/>
  <c r="A57"/>
  <c r="A56"/>
  <c r="A61"/>
  <c r="A64"/>
  <c r="A82"/>
  <c r="A86"/>
  <c r="A93"/>
  <c r="A97"/>
  <c r="A101"/>
  <c r="A105"/>
  <c r="A109"/>
  <c r="A114"/>
  <c r="A118"/>
  <c r="A122"/>
  <c r="A131"/>
  <c r="D108" i="1"/>
  <c r="A135" i="8"/>
  <c r="A138"/>
  <c r="A139"/>
  <c r="D57" i="1"/>
  <c r="D56"/>
  <c r="B163"/>
  <c r="A168"/>
  <c r="A174"/>
  <c r="A178"/>
  <c r="A183"/>
  <c r="B167"/>
  <c r="A192"/>
  <c r="A197"/>
  <c r="B191"/>
  <c r="B203"/>
  <c r="B214"/>
  <c r="D114"/>
  <c r="D113"/>
  <c r="D59"/>
  <c r="D55"/>
  <c r="D220"/>
  <c r="D219"/>
  <c r="D218"/>
  <c r="D217"/>
  <c r="D216"/>
  <c r="D215"/>
  <c r="D212"/>
  <c r="D211"/>
  <c r="D210"/>
  <c r="D209"/>
  <c r="D208"/>
  <c r="D207"/>
  <c r="D206"/>
  <c r="D205"/>
  <c r="D204"/>
  <c r="D201"/>
  <c r="D200"/>
  <c r="D197"/>
  <c r="D196"/>
  <c r="D195"/>
  <c r="D194"/>
  <c r="D192"/>
  <c r="D183"/>
  <c r="D178"/>
  <c r="D174"/>
  <c r="D173"/>
  <c r="D168"/>
  <c r="D165"/>
  <c r="D164"/>
  <c r="A136" i="8"/>
  <c r="A132"/>
  <c r="A128"/>
  <c r="A124"/>
  <c r="A120"/>
  <c r="A116"/>
  <c r="A111"/>
  <c r="A107"/>
  <c r="A103"/>
  <c r="A99"/>
  <c r="A95"/>
  <c r="A91"/>
  <c r="A87"/>
  <c r="A83"/>
  <c r="A79"/>
  <c r="A74"/>
  <c r="A70"/>
  <c r="A66"/>
  <c r="A62"/>
  <c r="A58"/>
  <c r="A54"/>
  <c r="A50"/>
  <c r="A45"/>
  <c r="A41"/>
  <c r="A37"/>
  <c r="A33"/>
  <c r="A29"/>
  <c r="A25"/>
  <c r="A21"/>
  <c r="A17"/>
  <c r="A12"/>
  <c r="A8"/>
  <c r="D30" i="1"/>
  <c r="D29"/>
  <c r="A224"/>
  <c r="A156"/>
  <c r="A155"/>
  <c r="B148"/>
  <c r="B140"/>
  <c r="B121"/>
  <c r="B101"/>
  <c r="B64"/>
  <c r="B54"/>
  <c r="B37"/>
  <c r="A154"/>
  <c r="D137"/>
  <c r="D135"/>
  <c r="D130"/>
  <c r="D133"/>
  <c r="D131"/>
  <c r="D129"/>
  <c r="D128"/>
  <c r="D127"/>
  <c r="D126"/>
  <c r="D123"/>
  <c r="D122"/>
  <c r="D119"/>
  <c r="D118"/>
  <c r="D102"/>
  <c r="D98"/>
  <c r="D97"/>
  <c r="D96"/>
  <c r="D88"/>
  <c r="D68"/>
  <c r="D67"/>
  <c r="D66"/>
  <c r="D65"/>
  <c r="D49"/>
  <c r="D48"/>
  <c r="D38"/>
  <c r="A223"/>
  <c r="D8"/>
  <c r="A157"/>
  <c r="A158"/>
  <c r="D22" s="1"/>
  <c r="D9"/>
  <c r="D10"/>
  <c r="D21"/>
  <c r="A222"/>
  <c r="A225"/>
  <c r="D28"/>
</calcChain>
</file>

<file path=xl/sharedStrings.xml><?xml version="1.0" encoding="utf-8"?>
<sst xmlns="http://schemas.openxmlformats.org/spreadsheetml/2006/main" count="1424" uniqueCount="557">
  <si>
    <t>USDA's Biopreferred Website</t>
  </si>
  <si>
    <t>****FOUO******</t>
  </si>
  <si>
    <t>BASE Selections:</t>
  </si>
  <si>
    <t>BASE NAME</t>
  </si>
  <si>
    <t>CITY</t>
  </si>
  <si>
    <t>STATE</t>
  </si>
  <si>
    <t>CONUS</t>
  </si>
  <si>
    <t>Ramstein AB</t>
  </si>
  <si>
    <t>Kaiserslautern</t>
  </si>
  <si>
    <t>Germany</t>
  </si>
  <si>
    <t>No</t>
  </si>
  <si>
    <t>Spangdahlem AB</t>
  </si>
  <si>
    <t>Trier</t>
  </si>
  <si>
    <t>Thule AB</t>
  </si>
  <si>
    <t>Thule</t>
  </si>
  <si>
    <t>Greenland</t>
  </si>
  <si>
    <t>Andersen AFB</t>
  </si>
  <si>
    <t>Agana</t>
  </si>
  <si>
    <t>Guam</t>
  </si>
  <si>
    <t>Aviano AB</t>
  </si>
  <si>
    <t>Pordenone</t>
  </si>
  <si>
    <t>Italy</t>
  </si>
  <si>
    <t>Kadena AB</t>
  </si>
  <si>
    <t>Okinawa</t>
  </si>
  <si>
    <t>Japan</t>
  </si>
  <si>
    <t>Misawa AB</t>
  </si>
  <si>
    <t>Misawa</t>
  </si>
  <si>
    <t>Yokota AB</t>
  </si>
  <si>
    <t>Tokyo</t>
  </si>
  <si>
    <t>Lajes Field</t>
  </si>
  <si>
    <t>Terceira Island</t>
  </si>
  <si>
    <t>Puerto Rico</t>
  </si>
  <si>
    <t>Kunsan AB</t>
  </si>
  <si>
    <t>Kunsan City</t>
  </si>
  <si>
    <t>S. Korea</t>
  </si>
  <si>
    <t>Osan AB</t>
  </si>
  <si>
    <t>Osan</t>
  </si>
  <si>
    <t>Incirlik AB</t>
  </si>
  <si>
    <t>Incirlik</t>
  </si>
  <si>
    <t>Turkey</t>
  </si>
  <si>
    <t>RAF Alconbury</t>
  </si>
  <si>
    <t>Alconbury</t>
  </si>
  <si>
    <t>United Kingdom</t>
  </si>
  <si>
    <t>RAF Croughton</t>
  </si>
  <si>
    <t>Croughton</t>
  </si>
  <si>
    <t>RAF Fairford</t>
  </si>
  <si>
    <t>Fairford</t>
  </si>
  <si>
    <t>RAF Lakenheath</t>
  </si>
  <si>
    <t>Lakenheath</t>
  </si>
  <si>
    <t>RAF Mildenhall</t>
  </si>
  <si>
    <t>Mildenhall</t>
  </si>
  <si>
    <t>Izmir</t>
  </si>
  <si>
    <t xml:space="preserve">Izmir </t>
  </si>
  <si>
    <t>Eielson AFB</t>
  </si>
  <si>
    <t>Fairbanks</t>
  </si>
  <si>
    <t>AK</t>
  </si>
  <si>
    <t>Yes</t>
  </si>
  <si>
    <t>Elmendorf AFB</t>
  </si>
  <si>
    <t>Anchorage</t>
  </si>
  <si>
    <t>Bellows AFB</t>
  </si>
  <si>
    <t>Honolulu</t>
  </si>
  <si>
    <t>HI</t>
  </si>
  <si>
    <t>Hickam AFB</t>
  </si>
  <si>
    <t>Maxwell-Gunter AFB</t>
  </si>
  <si>
    <t>Montgomery</t>
  </si>
  <si>
    <t>AL</t>
  </si>
  <si>
    <t>Little Rock AFB</t>
  </si>
  <si>
    <t>Little Rock</t>
  </si>
  <si>
    <t>AR</t>
  </si>
  <si>
    <t>Davis-Monthan AFB</t>
  </si>
  <si>
    <t>Tucson</t>
  </si>
  <si>
    <t>AZ</t>
  </si>
  <si>
    <t>Luke AFB</t>
  </si>
  <si>
    <t>Phoenix</t>
  </si>
  <si>
    <t>Travis AFB</t>
  </si>
  <si>
    <t>Fairfield</t>
  </si>
  <si>
    <t>CA</t>
  </si>
  <si>
    <t>Beale AFB</t>
  </si>
  <si>
    <t>Yuba City</t>
  </si>
  <si>
    <t>Edwards AFB</t>
  </si>
  <si>
    <t>Los Angeles AFB</t>
  </si>
  <si>
    <t>El Segundo</t>
  </si>
  <si>
    <t>Vandenberg AFB</t>
  </si>
  <si>
    <t>Lompoc</t>
  </si>
  <si>
    <t>USAF Academy</t>
  </si>
  <si>
    <t>Colorado Springs</t>
  </si>
  <si>
    <t>CO</t>
  </si>
  <si>
    <t>Buckley AFB</t>
  </si>
  <si>
    <t>Denver</t>
  </si>
  <si>
    <t>Cheyenne Mountain AFS</t>
  </si>
  <si>
    <t>Peterson AFB</t>
  </si>
  <si>
    <t>Schriever AFB</t>
  </si>
  <si>
    <t>Bolling AFB</t>
  </si>
  <si>
    <t>Washington DC</t>
  </si>
  <si>
    <t>DC</t>
  </si>
  <si>
    <t>Dover AFB</t>
  </si>
  <si>
    <t>Dover</t>
  </si>
  <si>
    <t>DE</t>
  </si>
  <si>
    <t>MacDill AFB</t>
  </si>
  <si>
    <t>Tampa</t>
  </si>
  <si>
    <t>FL</t>
  </si>
  <si>
    <t>Tyndall AFB</t>
  </si>
  <si>
    <t>Panama City</t>
  </si>
  <si>
    <t>Eglin AFB</t>
  </si>
  <si>
    <t>Valpariso</t>
  </si>
  <si>
    <t>Hurlburt Field</t>
  </si>
  <si>
    <t>Ft Walton Beach</t>
  </si>
  <si>
    <t>Cape Canaveral AFS</t>
  </si>
  <si>
    <t>Cape Canaveral</t>
  </si>
  <si>
    <t>Patrick AFB</t>
  </si>
  <si>
    <t>Cocoa Beach</t>
  </si>
  <si>
    <t>Moody AFB</t>
  </si>
  <si>
    <t>Valdosta</t>
  </si>
  <si>
    <t>GA</t>
  </si>
  <si>
    <t>Robins AFB</t>
  </si>
  <si>
    <t>Warner Robins</t>
  </si>
  <si>
    <t>Mountain Home AFB</t>
  </si>
  <si>
    <t>Mountain Home</t>
  </si>
  <si>
    <t>ID</t>
  </si>
  <si>
    <t>Scott AFB</t>
  </si>
  <si>
    <t>Bellville</t>
  </si>
  <si>
    <t>IL</t>
  </si>
  <si>
    <t>McConnell AFB</t>
  </si>
  <si>
    <t>Topeka</t>
  </si>
  <si>
    <t>KS</t>
  </si>
  <si>
    <t>Barksdale AFB</t>
  </si>
  <si>
    <t>Bossier City</t>
  </si>
  <si>
    <t>LA</t>
  </si>
  <si>
    <t>Hanscom AFB</t>
  </si>
  <si>
    <t>Bedford</t>
  </si>
  <si>
    <t>MA</t>
  </si>
  <si>
    <t>Andrews AFB</t>
  </si>
  <si>
    <t>Camp Springs</t>
  </si>
  <si>
    <t>MD</t>
  </si>
  <si>
    <t>Whiteman AFB</t>
  </si>
  <si>
    <t>Knob Noster</t>
  </si>
  <si>
    <t>MO</t>
  </si>
  <si>
    <t>Columbus AFB</t>
  </si>
  <si>
    <t>Columbus</t>
  </si>
  <si>
    <t>MS</t>
  </si>
  <si>
    <t>Keesler AFB</t>
  </si>
  <si>
    <t>Biloxi</t>
  </si>
  <si>
    <t>Malmstrom AFB</t>
  </si>
  <si>
    <t>Great Falls</t>
  </si>
  <si>
    <t>MT</t>
  </si>
  <si>
    <t>Pope AFB</t>
  </si>
  <si>
    <t>Fayetteville</t>
  </si>
  <si>
    <t>NC</t>
  </si>
  <si>
    <t>Seymour Johnson AFB</t>
  </si>
  <si>
    <t>Goldsboro</t>
  </si>
  <si>
    <t>Grand Forks AFB</t>
  </si>
  <si>
    <t>Grand Forks</t>
  </si>
  <si>
    <t>ND</t>
  </si>
  <si>
    <t>Minot AFB</t>
  </si>
  <si>
    <t>Minot</t>
  </si>
  <si>
    <t>Offutt AFB</t>
  </si>
  <si>
    <t>Bellevue</t>
  </si>
  <si>
    <t>NE</t>
  </si>
  <si>
    <t>Holloman AFB</t>
  </si>
  <si>
    <t>Alamogordo</t>
  </si>
  <si>
    <t>NM</t>
  </si>
  <si>
    <t>Kirtland AFB</t>
  </si>
  <si>
    <t>Albuquerque</t>
  </si>
  <si>
    <t>Cannon AFB</t>
  </si>
  <si>
    <t>Clovis</t>
  </si>
  <si>
    <t>Creech AFB</t>
  </si>
  <si>
    <t>Indian Springs</t>
  </si>
  <si>
    <t>NV</t>
  </si>
  <si>
    <t>Nellis AFB</t>
  </si>
  <si>
    <t>Las Vegas</t>
  </si>
  <si>
    <t>Rome Laboratory</t>
  </si>
  <si>
    <t>Rome</t>
  </si>
  <si>
    <t>NY</t>
  </si>
  <si>
    <t>Wright-Patterson AFB</t>
  </si>
  <si>
    <t>Dayton</t>
  </si>
  <si>
    <t>OH</t>
  </si>
  <si>
    <t>Altus AFB</t>
  </si>
  <si>
    <t>Altus</t>
  </si>
  <si>
    <t>OK</t>
  </si>
  <si>
    <t>Vance AFB</t>
  </si>
  <si>
    <t>Enid</t>
  </si>
  <si>
    <t>Tinker AFB</t>
  </si>
  <si>
    <t>Oklahoma City</t>
  </si>
  <si>
    <t>Charleston AFB</t>
  </si>
  <si>
    <t>Charleston</t>
  </si>
  <si>
    <t>SC</t>
  </si>
  <si>
    <t>Shaw AFB</t>
  </si>
  <si>
    <t>Sumter</t>
  </si>
  <si>
    <t>Ellsworth AFB</t>
  </si>
  <si>
    <t>Rapid City</t>
  </si>
  <si>
    <t>SD</t>
  </si>
  <si>
    <t>Arnold AFB</t>
  </si>
  <si>
    <t>Manchester</t>
  </si>
  <si>
    <t>TN</t>
  </si>
  <si>
    <t>Dyess AFB</t>
  </si>
  <si>
    <t>Abilene</t>
  </si>
  <si>
    <t>TX</t>
  </si>
  <si>
    <t>Goodfellow AFB</t>
  </si>
  <si>
    <t>San Angelo</t>
  </si>
  <si>
    <t>Lackland AFB</t>
  </si>
  <si>
    <t>San Antonio</t>
  </si>
  <si>
    <t>Laughlin AFB</t>
  </si>
  <si>
    <t>Del Rio</t>
  </si>
  <si>
    <t>Randolph AFB</t>
  </si>
  <si>
    <t>Sheppard AFB</t>
  </si>
  <si>
    <t>Witchita Falls</t>
  </si>
  <si>
    <t>Hill AFB</t>
  </si>
  <si>
    <t>Ogden</t>
  </si>
  <si>
    <t>UT</t>
  </si>
  <si>
    <t>Langley AFB</t>
  </si>
  <si>
    <t>Hampton</t>
  </si>
  <si>
    <t>VA</t>
  </si>
  <si>
    <t>Fairchild AFB</t>
  </si>
  <si>
    <t>Spokane</t>
  </si>
  <si>
    <t>WA</t>
  </si>
  <si>
    <t>McChord AFB</t>
  </si>
  <si>
    <t>Tacoma</t>
  </si>
  <si>
    <t xml:space="preserve">F. E. Warren AFB </t>
  </si>
  <si>
    <t>Cheyenne</t>
  </si>
  <si>
    <t>WY</t>
  </si>
  <si>
    <t>Other</t>
  </si>
  <si>
    <t xml:space="preserve">The High Performance Sustainable Building Requirements (Dec 08) described below are also found on the FedCenter website:  </t>
  </si>
  <si>
    <t>High  Performance Sustainable Building Guidance (Dec 08)</t>
  </si>
  <si>
    <t>Color Code</t>
  </si>
  <si>
    <t xml:space="preserve">For more information on LEED® Credits that meet or align closely with federal requirements as well as other credits a building can pursue towards the Silver certification level, review the LEED® New Construction and Major Renovations 2009 Rating System: </t>
  </si>
  <si>
    <t>City</t>
  </si>
  <si>
    <t>State</t>
  </si>
  <si>
    <t>Federal Requirements for High Performance Sustainable Buildings (HPSB)</t>
  </si>
  <si>
    <t>HPSB I: Employ Integrated Design Principles</t>
  </si>
  <si>
    <t>HPSB I.2</t>
  </si>
  <si>
    <t>HPSB II: Optimize Energy Performance</t>
  </si>
  <si>
    <t>HPSB II.1</t>
  </si>
  <si>
    <t>HPSB II.2</t>
  </si>
  <si>
    <t>HPSB II.3</t>
  </si>
  <si>
    <t>HPSB II.4</t>
  </si>
  <si>
    <t>HPSB II.5</t>
  </si>
  <si>
    <t>HPSB I.1</t>
  </si>
  <si>
    <t>HPSB II.6</t>
  </si>
  <si>
    <t>HPSB III: Protect and Conserve Water</t>
  </si>
  <si>
    <t>HPSB III.1</t>
  </si>
  <si>
    <t>HPSB III.2</t>
  </si>
  <si>
    <t>HPSB III.3</t>
  </si>
  <si>
    <t>HPSB III.4</t>
  </si>
  <si>
    <t>HPSB III.5</t>
  </si>
  <si>
    <t>HPSB III.6</t>
  </si>
  <si>
    <t>HPSB III.7</t>
  </si>
  <si>
    <t>HPSB IV: Enhance Indoor Environmental Quality</t>
  </si>
  <si>
    <t>HPSB IV.1</t>
  </si>
  <si>
    <t>HPSB IV.2</t>
  </si>
  <si>
    <t>HPSB IV.3</t>
  </si>
  <si>
    <t>HPSB IV.4</t>
  </si>
  <si>
    <t>HPSB IV.5</t>
  </si>
  <si>
    <t>HPSB IV.6</t>
  </si>
  <si>
    <t>HPSB IV.7</t>
  </si>
  <si>
    <t>HPSB IV.8</t>
  </si>
  <si>
    <t>HPSB IV.9</t>
  </si>
  <si>
    <t>HPSB V: Reduce Environmental Impact of Materials</t>
  </si>
  <si>
    <t>HPSB V.1</t>
  </si>
  <si>
    <t>HPSB V.2</t>
  </si>
  <si>
    <t>HPSB V.3</t>
  </si>
  <si>
    <t>HPSB V.4</t>
  </si>
  <si>
    <t>HPSB V.5</t>
  </si>
  <si>
    <t>HPSB V.6</t>
  </si>
  <si>
    <t>Federal Register - Protecting Federal Employees from Environmental Tobacco Smoke</t>
  </si>
  <si>
    <t>Installation</t>
  </si>
  <si>
    <t>Energy Independence and Security Act of 2007</t>
  </si>
  <si>
    <t>Energy Policy Act of 2005</t>
  </si>
  <si>
    <t>Executive Order 13423</t>
  </si>
  <si>
    <t>LEED(R) for New Construction &amp; Major Renovations 2009 - Nov 2008</t>
  </si>
  <si>
    <t>Percentage of Federal Requirements Achieved</t>
  </si>
  <si>
    <t>SurveyData</t>
  </si>
  <si>
    <t>SurveyResult</t>
  </si>
  <si>
    <t>GSA Federal Register: December 22, 2008 (Volume 73, Number 246):</t>
  </si>
  <si>
    <r>
      <t>Alternative Transportation -</t>
    </r>
    <r>
      <rPr>
        <sz val="10"/>
        <rFont val="Arial"/>
        <family val="2"/>
      </rPr>
      <t xml:space="preserve"> Public Transportation Access</t>
    </r>
  </si>
  <si>
    <t>12% for New Buildings/8% for Existing Building Renovations</t>
  </si>
  <si>
    <t>14% for New Buildings/10% for Existing Building Renovations</t>
  </si>
  <si>
    <t>16% for New Buildings/12% for Existing Building Renovations</t>
  </si>
  <si>
    <t>18% for New Buildings/14% for Existing Building Renovations</t>
  </si>
  <si>
    <t>20% for New Buildings/16% for Existing Building Renovations</t>
  </si>
  <si>
    <t>Date Project Certified by GBCI (MM/DD/YY)</t>
  </si>
  <si>
    <t>Date Project Registered with USGBC (MM/DD/YY)</t>
  </si>
  <si>
    <t>BOD (MM/DD/YY)</t>
  </si>
  <si>
    <t>22% for New Buildings/18% for Existing Building Renovations</t>
  </si>
  <si>
    <t>24% for New Buildings/20% for Existing Building Renovations</t>
  </si>
  <si>
    <t>26% for New Buildings/22% for Existing Building Renovations</t>
  </si>
  <si>
    <t>28% for New Buildings/24% for Existing Building Renovations</t>
  </si>
  <si>
    <t>30% for New Buildings/26% for Existing Building Renovations</t>
  </si>
  <si>
    <t>32% for New Buildings/28% for Existing Building Renovations</t>
  </si>
  <si>
    <t>34% for New Buildings/30% for Existing Building Renovations</t>
  </si>
  <si>
    <t>36% for New Buildings/32% for Existing Building Renovations</t>
  </si>
  <si>
    <t>38% for New Buildings/34% for Existing Building Renovations</t>
  </si>
  <si>
    <t>40% for New Buildings/36% for Existing Building Renovations</t>
  </si>
  <si>
    <t>42% for New Buildings/38% for Existing Building Renovations</t>
  </si>
  <si>
    <t>44% for New Buildings/40% for Existing Building Renovations</t>
  </si>
  <si>
    <t>46% for New Buildings/42% for Existing Building Renovations</t>
  </si>
  <si>
    <t>48%+ for New Buildings/44%+ for Existing Building Renovations</t>
  </si>
  <si>
    <t>1 to 19</t>
  </si>
  <si>
    <t>Credit 1.5</t>
  </si>
  <si>
    <t>Regional Priority Credits</t>
  </si>
  <si>
    <t>Energy Efficiency Achieved (% below ANSI/ASHRAE/IESNA Standard 90.1-2007)</t>
  </si>
  <si>
    <t>Regional Priority</t>
  </si>
  <si>
    <r>
      <t xml:space="preserve">Certified: </t>
    </r>
    <r>
      <rPr>
        <sz val="10"/>
        <color indexed="63"/>
        <rFont val="Arial"/>
        <family val="2"/>
      </rPr>
      <t xml:space="preserve">40-49 points, </t>
    </r>
    <r>
      <rPr>
        <b/>
        <sz val="10"/>
        <color indexed="63"/>
        <rFont val="Arial"/>
        <family val="2"/>
      </rPr>
      <t xml:space="preserve">Silver: </t>
    </r>
    <r>
      <rPr>
        <sz val="10"/>
        <color indexed="63"/>
        <rFont val="Arial"/>
        <family val="2"/>
      </rPr>
      <t xml:space="preserve">50-59 points, </t>
    </r>
    <r>
      <rPr>
        <b/>
        <sz val="10"/>
        <color indexed="63"/>
        <rFont val="Arial"/>
        <family val="2"/>
      </rPr>
      <t>Gold:</t>
    </r>
    <r>
      <rPr>
        <sz val="10"/>
        <color indexed="63"/>
        <rFont val="Arial"/>
        <family val="2"/>
      </rPr>
      <t xml:space="preserve"> 60-79 points, </t>
    </r>
    <r>
      <rPr>
        <b/>
        <sz val="10"/>
        <color indexed="63"/>
        <rFont val="Arial"/>
        <family val="2"/>
      </rPr>
      <t>Platinum:</t>
    </r>
    <r>
      <rPr>
        <sz val="10"/>
        <color indexed="63"/>
        <rFont val="Arial"/>
        <family val="2"/>
      </rPr>
      <t xml:space="preserve"> 80-110</t>
    </r>
  </si>
  <si>
    <t>Federal Requirements</t>
  </si>
  <si>
    <t>Insert generation capacity (kW)</t>
  </si>
  <si>
    <t>LEED® Prerequisites Achievable (out of 8)</t>
  </si>
  <si>
    <t>LEED® Credits Achievable</t>
  </si>
  <si>
    <t>Project Phase</t>
  </si>
  <si>
    <t>HPSB Compliant</t>
  </si>
  <si>
    <t>Comments</t>
  </si>
  <si>
    <t>Air Force MILCON Sustainability Requirements Scoresheet</t>
  </si>
  <si>
    <t>version LEED BD+C 2009</t>
  </si>
  <si>
    <t>General Information</t>
  </si>
  <si>
    <t>Project Type</t>
  </si>
  <si>
    <t>PA ($k)</t>
  </si>
  <si>
    <t>Building Size (SF)</t>
  </si>
  <si>
    <t>Pursuing formal LEED® Certification</t>
  </si>
  <si>
    <t>LEED® Accredited Professional</t>
  </si>
  <si>
    <t>RCRA 2002, Sec 6002</t>
  </si>
  <si>
    <t>RCRA 2002</t>
  </si>
  <si>
    <t xml:space="preserve">Eliminate the use of ozone depleting compounds during and after construction where alternative environmentally preferable products are available, consistent with either the Montreal Protocol and Title VI of the Clean Air Act Amendments of 1990, or equivalent overall air quality benefits that take into account lifecycle impacts. </t>
  </si>
  <si>
    <t xml:space="preserve">During construction, recycle or salvage at least 50 percent of the non-hazardous construction, demolition and land clearing materials, excluding soil, where markets or onsite recycling opportunities exist.   </t>
  </si>
  <si>
    <t xml:space="preserve">Incorporate adequate space, equipment, and transport accommodations for recycling in the building design. During a project's planning stage, identify local recycling and salvage operations that could process site-related construction and demolition materials. Provide salvage, reuse and recycling services for waste generated from major renovations, where markets or onsite recycling opportunities exist. </t>
  </si>
  <si>
    <t xml:space="preserve">Use products that have a lesser or reduced effect on human health and the environment over their lifecycle when compared with competing products or services that serve the same purpose. A number of standards and ecolabels are available in the marketplace to assist specifiers in making environmentally preferable decisions. </t>
  </si>
  <si>
    <t xml:space="preserve">Per Section 9002 of the Farm Security and Rural Investment Act (FSRIA), for USDA-designated products, specify products with the highest content level per USDA's biobased content recommendations. For other products, specify biobased products made from rapidly renewable resources and certified sustainable wood products. If these designated products meet performance requirements and are available at a reasonable cost, a preference for purchasing them shall be included in all solicitations relevant to construction, operation, maintenance of or use in the building. </t>
  </si>
  <si>
    <t xml:space="preserve">Per Section 6002 of the Resource Conservation and Recovery Act (RCRA), for EPA-designated products, specify products meeting or exceeding EPA's recycled content recommendations. For other products, specify materials with recycled content when practicable. If EPA-designated products meet performance requirements and are available at a reasonable cost, a preference for purchasing them shall be included in all solicitations relevant to construction, operation, maintenance of or use in the building. </t>
  </si>
  <si>
    <t xml:space="preserve">Implement a policy and post signage indicating that smoking is prohibited within the building and within 25 feet of all building entrances, operable windows, and building ventilation intakes during building occupancy. </t>
  </si>
  <si>
    <t xml:space="preserve">Follow the recommended approach of the Sheet Metal and Air Conditioning Contractor's National Association Indoor Air Quality Guidelines for Occupied Buildings under Construction, 2007. After construction and prior to occupancy, conduct a minimum 72-hour flush-out with maximum outdoor air consistent with achieving relative humidity no greater than 60 percent. After occupancy, continue flush-out as necessary to minimize exposure to contaminants from new building materials. </t>
  </si>
  <si>
    <t xml:space="preserve">After construction and prior to occupancy, conduct a minimum 72-hour flush-out with maximum outdoor air consistent with achieving relative humidity no greater than 60 percent. After occupancy, continue flush-out as necessary to minimize exposure to contaminants from new building materials. </t>
  </si>
  <si>
    <t xml:space="preserve">Specify materials and products with low pollutant emissions, including composite wood products, adhesives, sealants, interior paints and finishes, carpet systems, and furnishings. </t>
  </si>
  <si>
    <t xml:space="preserve">Achieve a minimum daylight factor of 2 percent (excluding all direct sunlight penetration) in 75 percent of all space occupied for critical visual tasks. </t>
  </si>
  <si>
    <t xml:space="preserve">Achieving compliance with ETL 04-3 achieves the federal requirement for HPSB GP4, Moisture Control: Establish and implement a moisture control strategy for controlling moisture flows and condensation to prevent building damage, minimize mold contamination, and reduce health risks related to moisture. </t>
  </si>
  <si>
    <t xml:space="preserve">Meet ASHRAE Standard 55-2004, Thermal Environmental Conditions for Human Occupancy, including continuous humidity control within established ranges per climate zone.  </t>
  </si>
  <si>
    <t xml:space="preserve">Meet ASHRAE Standard 62.1-2007, Ventilation for Acceptable Indoor Air Quality.  </t>
  </si>
  <si>
    <t>Choose irrigation contractors who are certified through a WaterSense labeled program.</t>
  </si>
  <si>
    <t>Specify EPA’s WaterSense-labeled products or other water conserving products, where available.</t>
  </si>
  <si>
    <t>Per the Energy Policy Act of 2005 Section 109, when potable water is used to improve a building’s energy efficiency, deploy lifecycle cost effective water conservation measures.</t>
  </si>
  <si>
    <t xml:space="preserve">Per EISA Section 438, to the maximum extent technically feasible, maintain or restore the predevelopment hydrology of the site with regard to temperature, rate, volume, and duration of flow using site planning, design, construction, and maintenance strategies. </t>
  </si>
  <si>
    <t xml:space="preserve">Employ design and construction strategies that reduce storm water runoff and discharges of polluted water offsite. </t>
  </si>
  <si>
    <t xml:space="preserve">Use water efficient landscape and irrigation strategies, such as water reuse, recycling, and the use of harvested rainwater, to reduce outdoor potable water consumption by a minimum of 50 percent over that consumed by conventional means (plant species and plant densities). The installation of water meters for locations with significant outdoor water use is encouraged. </t>
  </si>
  <si>
    <t xml:space="preserve">Employ strategies that in aggregate use a minimum of 20 percent less potable water than the indoor water use baseline calculated for the building, after meeting the EPAct 1992, Uniform Plumbing Codes 2006, and the International Plumbing Codes 2006 fixture performance requirements. The installation of water meters is encouraged to allow for the management of water use during occupancy. The use of harvested rainwater, treated wastewater, and air conditioner condensate should also be considered and used where feasible for nonpotable use and potable use where allowed. </t>
  </si>
  <si>
    <t xml:space="preserve">Per the Energy Policy Act of 2005 (EPAct) Section 103, install building level electricity meters in new major construction and renovation projects to track and continuously optimize performance. Per EISA Section 434, include equivalent meters for natural gas and steam, where natural gas and steam are used. </t>
  </si>
  <si>
    <t>EPAct 2005 Section 103
EISA 2007 Section 434</t>
  </si>
  <si>
    <t xml:space="preserve">Per Executive Order 13423, implement renewable energy generation projects on agency property for agency use, when lifecycle cost effective. </t>
  </si>
  <si>
    <t>Per the Energy Independence and Security Act (EISA) Section 523, meet at least 30% of the hot water demand through the installation of solar hot water heaters, when lifecycle cost effective.</t>
  </si>
  <si>
    <t>Use ENERGY STAR® and FEMP-designated Energy Efficient Products, where available.</t>
  </si>
  <si>
    <t xml:space="preserve">For new construction, reduce the energy use by 30 percent compared to the baseline building performance rating per the American National Standards Institute (ANSI)/American Society of Heating, Refrigerating and Air-Conditioning Engineers, Inc., (ASHRAE)/Illuminating Engineering Society of North America (IESNA) Standard 90.1-2007, Energy Standard for Buildings Except Low-Rise Residential, except for the performance rating formula in G1.2, which should be used as follows (from 10 CFR 433.5): 
Percentage improvement = 100 x (Baseline building consumption—Proposed building consumption) ÷(Baseline building consumption—Receptacle and process loads). 
This differs from the LEED calculation.
For major renovations, reduce the energy use by 20 percent below pre-renovations 2003 baseline. Laboratory spaces may use the Labs21 Laboratory Modeling Guidelines. </t>
  </si>
  <si>
    <t xml:space="preserve">Employ commissioning practices tailored to the size and complexity of the building and its system components in order to verify performance of building components and systems and help ensure that design requirements are met. This should include an experienced commissioning provider, inclusion of commissioning requirements in construction documents, a commissioning plan, verification of the installation and performance of systems to be commissioned, and a commissioning report. </t>
  </si>
  <si>
    <t>Use a collaborative, integrated planning and design process that
• Initiates and maintains an integrated project team as described on the Whole Building Design Guide in all stages of a project's planning and delivery, http://www.wbdg.org/design/engage_process.php
• Integrates the use of OMB’s A-11, Section 7, Exhibit 300: Capital Asset Plan and Business Case Summary
• Establishes performance goals for siting, energy, water, materials, and indoor environmental quality along with other comprehensive design goals and ensures incorporation of these goals throughout the design and lifecycle of the building
• Considers all stages of the building's lifecycle, including deconstruction.</t>
  </si>
  <si>
    <t>LEED® Certification Level Achievable</t>
  </si>
  <si>
    <t>LEED BD+C 2009</t>
  </si>
  <si>
    <t>LEED® Certification Level Awarded by GBCI</t>
  </si>
  <si>
    <t>Registration Fees ($)</t>
  </si>
  <si>
    <t>Certification Fees ($)</t>
  </si>
  <si>
    <t>LEED BD+C 2009 Checklist</t>
  </si>
  <si>
    <t>Reduce energy use 30% Below ANSI/ASHRAE/IESNA Standard 90.1- 2007, OR</t>
  </si>
  <si>
    <t>Electric Metering: Select N/A if not used</t>
  </si>
  <si>
    <t>Natural Gas Metering: Select N/A if not used</t>
  </si>
  <si>
    <t>Steam Metering: Select N/A if not used</t>
  </si>
  <si>
    <t>AF ETL 03-1</t>
  </si>
  <si>
    <t>HPSB Guidance</t>
  </si>
  <si>
    <t>Engineering Technical Letter (ETL) 03-1 - Stormwater Construction Standards</t>
  </si>
  <si>
    <t>Not Achieved</t>
  </si>
  <si>
    <t>Certified</t>
  </si>
  <si>
    <t>Silver</t>
  </si>
  <si>
    <t>Gold</t>
  </si>
  <si>
    <t>Platinum</t>
  </si>
  <si>
    <t>Federal Requirements Achieved (29 line items)</t>
  </si>
  <si>
    <t>EPA's Comprehensive Procurement Guideline Website</t>
  </si>
  <si>
    <t>EISA 2007, Sec. 433</t>
  </si>
  <si>
    <t>EISA 2007, Sec. 453</t>
  </si>
  <si>
    <t>EISA Sec. 523</t>
  </si>
  <si>
    <t>EPAct 2005, Sec. 109</t>
  </si>
  <si>
    <t xml:space="preserve">Sustainable Sites </t>
  </si>
  <si>
    <t xml:space="preserve">Prereq 1 </t>
  </si>
  <si>
    <t>Required</t>
  </si>
  <si>
    <t xml:space="preserve">Prereq 2 </t>
  </si>
  <si>
    <t xml:space="preserve">Credit 2 </t>
  </si>
  <si>
    <t>Credit 3.1</t>
  </si>
  <si>
    <t>Credit 3.2</t>
  </si>
  <si>
    <r>
      <t>Alternative Transportation -</t>
    </r>
    <r>
      <rPr>
        <sz val="10"/>
        <rFont val="Arial"/>
        <family val="2"/>
      </rPr>
      <t xml:space="preserve"> Bicycle Storage &amp; Changing Rooms</t>
    </r>
  </si>
  <si>
    <t>Credit 4.1</t>
  </si>
  <si>
    <t>Credit 4.2</t>
  </si>
  <si>
    <t>Credit 5.1</t>
  </si>
  <si>
    <t>Credit 5.2</t>
  </si>
  <si>
    <t>Credit 6.1</t>
  </si>
  <si>
    <t>Credit 6.2</t>
  </si>
  <si>
    <t>Light Pollution Reduction</t>
  </si>
  <si>
    <t>Water Efficiency</t>
  </si>
  <si>
    <t>Credit 1.1</t>
  </si>
  <si>
    <t>Credit 1.2</t>
  </si>
  <si>
    <t>Innovative Wastewater Technologies</t>
  </si>
  <si>
    <t>Energy &amp; Atmosphere</t>
  </si>
  <si>
    <t xml:space="preserve">Prereq 3 </t>
  </si>
  <si>
    <t>Credit 1</t>
  </si>
  <si>
    <t>Credit 2.1</t>
  </si>
  <si>
    <t>Credit 2.2</t>
  </si>
  <si>
    <t xml:space="preserve">Credit 4 </t>
  </si>
  <si>
    <t xml:space="preserve">Credit 6 </t>
  </si>
  <si>
    <t>Materials &amp; Resources</t>
  </si>
  <si>
    <t>Credit 4.3</t>
  </si>
  <si>
    <t>Credit 6</t>
  </si>
  <si>
    <t>Indoor Environmental Quality</t>
  </si>
  <si>
    <t xml:space="preserve">Credit 1 </t>
  </si>
  <si>
    <t>Outside Air Delivery Monitoring</t>
  </si>
  <si>
    <t>Increased Ventilation</t>
  </si>
  <si>
    <t>Credit 3</t>
  </si>
  <si>
    <t>Credit 7.1</t>
  </si>
  <si>
    <t>Credit 7.2</t>
  </si>
  <si>
    <t>Credit 8.1</t>
  </si>
  <si>
    <t>Credit 8.2</t>
  </si>
  <si>
    <r>
      <t>Daylight &amp; Views</t>
    </r>
    <r>
      <rPr>
        <sz val="10"/>
        <rFont val="Arial"/>
        <family val="2"/>
      </rPr>
      <t xml:space="preserve"> - Views for 90% of Spaces</t>
    </r>
  </si>
  <si>
    <t>Innovation &amp; Design Process</t>
  </si>
  <si>
    <t>Credit 1.3</t>
  </si>
  <si>
    <t>Credit 1.4</t>
  </si>
  <si>
    <t>Site Selection</t>
  </si>
  <si>
    <t>Water Conservation Achieved (% below EPAct 1992)</t>
  </si>
  <si>
    <t>Possible Points</t>
  </si>
  <si>
    <t>Federal Requirements Not Achieved</t>
  </si>
  <si>
    <t>Federal Requirements Maybe Achieved</t>
  </si>
  <si>
    <t>Development Density &amp; Community Connectivity</t>
  </si>
  <si>
    <t>Brownfield Redevelopment</t>
  </si>
  <si>
    <t>Credit 4.4</t>
  </si>
  <si>
    <t>Credit 5</t>
  </si>
  <si>
    <r>
      <t xml:space="preserve">Site Development, </t>
    </r>
    <r>
      <rPr>
        <sz val="10"/>
        <rFont val="Arial"/>
        <family val="2"/>
      </rPr>
      <t>Protect or Restore Habitat</t>
    </r>
  </si>
  <si>
    <r>
      <t>Alternative Transportation -</t>
    </r>
    <r>
      <rPr>
        <sz val="10"/>
        <rFont val="Arial"/>
        <family val="2"/>
      </rPr>
      <t xml:space="preserve"> Low-Emitting &amp; Fuel Efficient Vehicles</t>
    </r>
  </si>
  <si>
    <r>
      <t>Alternative Transportation -</t>
    </r>
    <r>
      <rPr>
        <sz val="10"/>
        <rFont val="Arial"/>
        <family val="2"/>
      </rPr>
      <t xml:space="preserve"> Parking Capacity</t>
    </r>
  </si>
  <si>
    <r>
      <t xml:space="preserve">Site Development, </t>
    </r>
    <r>
      <rPr>
        <sz val="10"/>
        <rFont val="Arial"/>
        <family val="2"/>
      </rPr>
      <t>Maximize Open Space</t>
    </r>
  </si>
  <si>
    <r>
      <t>Heat Island Effect -</t>
    </r>
    <r>
      <rPr>
        <sz val="10"/>
        <rFont val="Arial"/>
        <family val="2"/>
      </rPr>
      <t xml:space="preserve"> Non-Roof</t>
    </r>
  </si>
  <si>
    <r>
      <t>Heat Island Effect -</t>
    </r>
    <r>
      <rPr>
        <sz val="10"/>
        <rFont val="Arial"/>
        <family val="2"/>
      </rPr>
      <t xml:space="preserve"> Roof</t>
    </r>
  </si>
  <si>
    <t>Credit 8</t>
  </si>
  <si>
    <t>Green Power</t>
  </si>
  <si>
    <r>
      <t xml:space="preserve">Building Reuse, </t>
    </r>
    <r>
      <rPr>
        <sz val="10"/>
        <rFont val="Arial"/>
        <family val="2"/>
      </rPr>
      <t>Maintain 50% of Interior Non-Structural Elements</t>
    </r>
  </si>
  <si>
    <r>
      <t xml:space="preserve">Construction Waste Management, </t>
    </r>
    <r>
      <rPr>
        <sz val="10"/>
        <rFont val="Arial"/>
        <family val="2"/>
      </rPr>
      <t>Divert 75% from Disposal</t>
    </r>
  </si>
  <si>
    <t>Credit 7</t>
  </si>
  <si>
    <t>Indoor Chemical &amp; Pollutant Source Control</t>
  </si>
  <si>
    <r>
      <t xml:space="preserve">Controllability of Systems, </t>
    </r>
    <r>
      <rPr>
        <sz val="10"/>
        <rFont val="Arial"/>
        <family val="2"/>
      </rPr>
      <t>Thermal Comfort</t>
    </r>
  </si>
  <si>
    <r>
      <t xml:space="preserve">Thermal Comfort, </t>
    </r>
    <r>
      <rPr>
        <sz val="10"/>
        <rFont val="Arial"/>
        <family val="2"/>
      </rPr>
      <t>Verification</t>
    </r>
  </si>
  <si>
    <t>Innovation in Design</t>
  </si>
  <si>
    <t>Optimize Energy Performance (HPSB GP3)</t>
  </si>
  <si>
    <t>LEED Project Totals  (pre-certification estimates)</t>
  </si>
  <si>
    <t>MAJCOM</t>
  </si>
  <si>
    <t>Building Name</t>
  </si>
  <si>
    <t>LEED® Rating System</t>
  </si>
  <si>
    <t>Lifecycle cost assessment found solar hot water heater system not effective</t>
  </si>
  <si>
    <t>When lifecycle cost effective, solar hot water system installed - min 30% demand</t>
  </si>
  <si>
    <t>Lifecycle cost assessment found renewable energy generation projects not effective</t>
  </si>
  <si>
    <t>When lifecycle cost effective, renewable energy generation projects installed</t>
  </si>
  <si>
    <t>Process water potable water use</t>
  </si>
  <si>
    <t>Project ID (e.g. ABCD12345)</t>
  </si>
  <si>
    <t>Recommended (Federal Requirement not fully defined at this time)</t>
  </si>
  <si>
    <t>Energy efficiency measures using water were considered and the cost was included in lifecycle cost assessment</t>
  </si>
  <si>
    <t>Energy efficiency measures using water were not considered for the design</t>
  </si>
  <si>
    <t>Insert percentage achieved</t>
  </si>
  <si>
    <t>Insert percentage of total building</t>
  </si>
  <si>
    <t>LEED® Credits Maybe Achievable</t>
  </si>
  <si>
    <t>LEED® Credits Not Achievable</t>
  </si>
  <si>
    <t>HPSB Totals</t>
  </si>
  <si>
    <t>Links</t>
  </si>
  <si>
    <t>http://femp.buildinggreen.com/</t>
  </si>
  <si>
    <t>Program Year (FY####)</t>
  </si>
  <si>
    <t>Design Started (FY####)</t>
  </si>
  <si>
    <t>Other II.7</t>
  </si>
  <si>
    <t>Other II.8</t>
  </si>
  <si>
    <t>OUSD Memo EISA Section 438</t>
  </si>
  <si>
    <t xml:space="preserve">Provide automatic dimming controls or accessible manual lighting controls, and appropriate glare control. </t>
  </si>
  <si>
    <t>Prereq 1</t>
  </si>
  <si>
    <t>EO 13423, Sec 2(e)</t>
  </si>
  <si>
    <t>None specified</t>
  </si>
  <si>
    <t>None</t>
  </si>
  <si>
    <t>10 CFR 433.5</t>
  </si>
  <si>
    <t>GPO Access: 10 CFR 433.5</t>
  </si>
  <si>
    <t xml:space="preserve">As a recommendation, enter data and lessons learned from sustainable buildings into the High Performance Buildings Database. </t>
  </si>
  <si>
    <t>EPAct 1992</t>
  </si>
  <si>
    <t>THOMAS EPAct 1992</t>
  </si>
  <si>
    <t>OUSD Memo 19 Jan 2010, EISA Sec 438</t>
  </si>
  <si>
    <t>ETL 04-3: Design Criteria for Prevention of Mold in Air Force Facilities</t>
  </si>
  <si>
    <t>AF ETL 04-3</t>
  </si>
  <si>
    <t>LEED EA Prerequisite 3: Fundamental Refrigerant Management</t>
  </si>
  <si>
    <r>
      <t xml:space="preserve">(a)(D)(i): For new Federal buildings and Federal buildings undergoing major renovations…(I) The buildings shall be designed so that the fossil fuel generated energy consumption of the buildings is reduced, as compared with such energy consumption by a similar building in fiscal year 2003 (CBECS or RECS data from EIA), by the percentage specified...FY2010 (55%), 2015 (65%), 2020 (80%), 2025 (90%), and 2030 (100%). </t>
    </r>
    <r>
      <rPr>
        <i/>
        <sz val="10"/>
        <rFont val="Arial"/>
        <family val="2"/>
      </rPr>
      <t>The DOE Rulemaking is not yet complete</t>
    </r>
  </si>
  <si>
    <t>LEED EA Credit 4: Enhanced Refrigerant Management</t>
  </si>
  <si>
    <t>Achievable Points</t>
  </si>
  <si>
    <t xml:space="preserve">HPSB III: Protect and Conserve Water   </t>
  </si>
  <si>
    <t xml:space="preserve">HPSB IV: Enhance Indoor Environmental Quality </t>
  </si>
  <si>
    <t>Credit 2</t>
  </si>
  <si>
    <t>On-site 1%</t>
  </si>
  <si>
    <t>On-site 3%</t>
  </si>
  <si>
    <t>On-site 5%</t>
  </si>
  <si>
    <t>On-site 7%</t>
  </si>
  <si>
    <t>On-site 9%</t>
  </si>
  <si>
    <t>On-site 11%</t>
  </si>
  <si>
    <t>On-site 13%</t>
  </si>
  <si>
    <t>On-Site Renewable Energy (HPSB GP2)</t>
  </si>
  <si>
    <t>1 to 7</t>
  </si>
  <si>
    <t>30% Reduction</t>
  </si>
  <si>
    <t>35% Reduction</t>
  </si>
  <si>
    <t>40% Reduction</t>
  </si>
  <si>
    <t>Water Use Reduction</t>
  </si>
  <si>
    <r>
      <t xml:space="preserve">Building Reuse, </t>
    </r>
    <r>
      <rPr>
        <sz val="10"/>
        <rFont val="Arial"/>
        <family val="2"/>
      </rPr>
      <t>Maintain Existing Walls, Floors &amp; Roof</t>
    </r>
  </si>
  <si>
    <t>Maintain 55% of Existing Walls, Floors &amp; Roof</t>
  </si>
  <si>
    <t>Maintain 75% of Existing Walls, Floors &amp; Roof</t>
  </si>
  <si>
    <t>Maintain 95% of Existing Walls, Floors &amp; Roof</t>
  </si>
  <si>
    <t>1 to 3</t>
  </si>
  <si>
    <t>Materials Reuse</t>
  </si>
  <si>
    <t>1 to 2</t>
  </si>
  <si>
    <t>Regional Materials</t>
  </si>
  <si>
    <t>10% Extracted, Processed &amp; Manufactured</t>
  </si>
  <si>
    <t>20% Extracted, Processed &amp; Manufactured</t>
  </si>
  <si>
    <t>WBDG Federal Green Construction Guide</t>
  </si>
  <si>
    <t>Associated Requirement:</t>
  </si>
  <si>
    <t>LEED Credit(s) aligns closely with HPSB:</t>
  </si>
  <si>
    <t>LEED Credit(s) meet HPSB:</t>
  </si>
  <si>
    <t>High Performance Sustainable Building Requirements and LEED BD+C 2009 References</t>
  </si>
  <si>
    <t>Energy Efficiency, Achieve Option 1 or 2 and insert design percentage</t>
  </si>
  <si>
    <t>On-site Renewable Energy - Solar Hot Water Heater System</t>
  </si>
  <si>
    <t>On-site Renewable Energy</t>
  </si>
  <si>
    <t>Measurement and Verification - Advanced Metering</t>
  </si>
  <si>
    <t>Indoor Water - 20% Reduction</t>
  </si>
  <si>
    <t>LEED EA Prerequisite 1: Fundamental Commissioning of Building Energy Systems
LEED EA Credit 3: Enhanced Commissioning</t>
  </si>
  <si>
    <t>LEED EA Prerequisite 2: Minimum Energy Performance 
LEED EA Credit 1: Optimize Energy Performance</t>
  </si>
  <si>
    <t>LEED EA Credit 2: On-Site Renewable Energy</t>
  </si>
  <si>
    <t>LEED EA Credit 5: Measurement and Verification</t>
  </si>
  <si>
    <t>LEED SS Prerequisite 1: Construction Activity Pollution Prevention</t>
  </si>
  <si>
    <t>LEED EQ Prerequisite 1: Minimum Indoor Air Quality Performance</t>
  </si>
  <si>
    <t>LEED EQ Credit 7: Thermal Comfort - Design</t>
  </si>
  <si>
    <t>LEED EQ Credit 8.1: Daylight and Views - Daylight</t>
  </si>
  <si>
    <t>LEED EQ Credit 6.1: Controllability of Systems - Lighting</t>
  </si>
  <si>
    <t>LEED EQ Credits 4.1-4.4: Low-Emitting Materials - Adhesives and Sealants (4.1), Paints and Coatings (4.2), Flooring Systems (4.3), and Composite Wood and Agrifiber Products (4.4)</t>
  </si>
  <si>
    <t>LEED EQ Credit 3.1: Construction Indoor Air Quality Management Plan - During Occupancy</t>
  </si>
  <si>
    <t>LEED EQ Credit 3.2: Construction Indoor Air Quality Management Plan - Before Occupancy</t>
  </si>
  <si>
    <t>LEED EQ Prerequisite 2: Environmental Tobacco Smoke (ETS) Control</t>
  </si>
  <si>
    <t>LEED MR Credit 6: Rapidly Renewable Materials
LEED MR Credit 7: Certified Wood</t>
  </si>
  <si>
    <t>LEED MR Prerequisite 1: Storage and Collection of Recyclables</t>
  </si>
  <si>
    <t>LEED MR Credit 2.1: Construction Waste Management</t>
  </si>
  <si>
    <t>LEED WE Prerequisite 1: Water Use Reduction - 20% Reduction</t>
  </si>
  <si>
    <t>LEED WE Credit 3: Water Use Reduction - Reduce by 30% (3.1), 35% (3.2), 40% (3.3)</t>
  </si>
  <si>
    <t>LEED WE Credit 1.1: Water Efficient Landscaping - Reduce by 50%</t>
  </si>
  <si>
    <t>LEED WE Credit 1.2: Water Efficient Landscaping - No Potable Water Use or Irrigation</t>
  </si>
  <si>
    <t>LEED MR Credit 4.1-4.2: Recycled Content - 10% of Content (4.1), 20% of Content (4.2)</t>
  </si>
  <si>
    <t>LEED SS Credit 6.1: Stormwater Design - Quantity Control
LEED SS Credit 6.2: Stormwater Design - Quality Control</t>
  </si>
  <si>
    <t>FSRIA 2002</t>
  </si>
  <si>
    <t>FSRIA 2002 Section 9002</t>
  </si>
  <si>
    <r>
      <t>LEED® Credits and/or Prerequisites that align closely with Federal High Performance Sustainable Buildings (HPSB) Requirements</t>
    </r>
    <r>
      <rPr>
        <sz val="10"/>
        <color indexed="17"/>
        <rFont val="Arial"/>
        <family val="2"/>
      </rPr>
      <t xml:space="preserve">
These credits and/or prerequisites align closely with the associated HPSB Guiding Principle.  They could be either more or less stringent or have different measurement metrics.  In the case where one is more stringent than the other, achieving the more stringent one does not imply the less stringent is achieved.</t>
    </r>
  </si>
  <si>
    <r>
      <t xml:space="preserve">LEED® Credits and/or Prerequisites that meet Federal High Performance Sustainable Buildings (HPSB) Requirements
</t>
    </r>
    <r>
      <rPr>
        <sz val="10"/>
        <color indexed="48"/>
        <rFont val="Arial"/>
        <family val="2"/>
      </rPr>
      <t>These credits and/or prerequisites have the same requirements as the associated HPSB Guiding Principle. This does not guarantee achieving the LEED Credit, as some documentation methods may vary.</t>
    </r>
  </si>
  <si>
    <t>2 to 4</t>
  </si>
  <si>
    <t>Achieve "Designed to Earn the Energy Star" rating - Benchmark from first year of operation (Recommended)</t>
  </si>
  <si>
    <t>If not at least 30% below ANSI/ASHRAE/IESNA Standard 90.1- 2007, will the design achieve the maximum level of energy efficiency that is life-cycle cost-effective?</t>
  </si>
  <si>
    <t>Insert percentage below ANSI/ASHRAE/IESNA Standard 90.1-2007 in terms of energy use (e.g. 32)</t>
  </si>
  <si>
    <r>
      <t>Section 453 directs DOE and EPA to initiate a voluntary national information program for widely used data centers and data center equipment for which there is significant potential for energy savings.</t>
    </r>
    <r>
      <rPr>
        <i/>
        <sz val="10"/>
        <rFont val="Arial"/>
        <family val="2"/>
      </rPr>
      <t xml:space="preserve"> The DOE/EPA guidance is not yet issued.</t>
    </r>
  </si>
  <si>
    <t>ELLS67890</t>
  </si>
  <si>
    <t>Building G</t>
  </si>
  <si>
    <t>Major Renovation and Addition</t>
  </si>
  <si>
    <t>Air Mobility Command</t>
  </si>
  <si>
    <t>Final Design</t>
  </si>
  <si>
    <t>Test of Building G v 3</t>
  </si>
  <si>
    <t>Maybe</t>
  </si>
  <si>
    <t>N/A</t>
  </si>
  <si>
    <t>LEED® Credits Awarded by GBCI (e.g. 42)</t>
  </si>
</sst>
</file>

<file path=xl/styles.xml><?xml version="1.0" encoding="utf-8"?>
<styleSheet xmlns="http://schemas.openxmlformats.org/spreadsheetml/2006/main">
  <numFmts count="5">
    <numFmt numFmtId="167" formatCode="&quot;$&quot;#,##0.00"/>
    <numFmt numFmtId="168" formatCode="&quot;$&quot;#,##0"/>
    <numFmt numFmtId="169" formatCode="00"/>
    <numFmt numFmtId="171" formatCode="0.0%"/>
    <numFmt numFmtId="180" formatCode="0.0"/>
  </numFmts>
  <fonts count="46">
    <font>
      <sz val="10"/>
      <name val="Arial"/>
    </font>
    <font>
      <sz val="10"/>
      <name val="Arial"/>
      <family val="2"/>
    </font>
    <font>
      <sz val="10"/>
      <color indexed="17"/>
      <name val="Arial"/>
      <family val="2"/>
    </font>
    <font>
      <b/>
      <sz val="10"/>
      <color indexed="17"/>
      <name val="Arial"/>
      <family val="2"/>
    </font>
    <font>
      <b/>
      <sz val="10"/>
      <color indexed="23"/>
      <name val="Arial"/>
      <family val="2"/>
    </font>
    <font>
      <b/>
      <sz val="10"/>
      <color indexed="9"/>
      <name val="Arial"/>
      <family val="2"/>
    </font>
    <font>
      <sz val="10"/>
      <color indexed="9"/>
      <name val="Arial"/>
      <family val="2"/>
    </font>
    <font>
      <b/>
      <sz val="10"/>
      <name val="Arial"/>
      <family val="2"/>
    </font>
    <font>
      <sz val="10"/>
      <color indexed="23"/>
      <name val="Arial"/>
      <family val="2"/>
    </font>
    <font>
      <b/>
      <sz val="10"/>
      <color indexed="63"/>
      <name val="Arial"/>
      <family val="2"/>
    </font>
    <font>
      <sz val="10"/>
      <color indexed="63"/>
      <name val="Arial"/>
      <family val="2"/>
    </font>
    <font>
      <sz val="8"/>
      <name val="Arial"/>
    </font>
    <font>
      <b/>
      <sz val="10"/>
      <color indexed="48"/>
      <name val="Arial"/>
      <family val="2"/>
    </font>
    <font>
      <sz val="10"/>
      <color indexed="48"/>
      <name val="Arial"/>
      <family val="2"/>
    </font>
    <font>
      <b/>
      <sz val="10"/>
      <color indexed="20"/>
      <name val="Arial"/>
      <family val="2"/>
    </font>
    <font>
      <b/>
      <sz val="8"/>
      <name val="Arial"/>
      <family val="2"/>
    </font>
    <font>
      <u/>
      <sz val="10"/>
      <color indexed="12"/>
      <name val="Arial"/>
    </font>
    <font>
      <b/>
      <u/>
      <sz val="10"/>
      <color indexed="17"/>
      <name val="Arial"/>
      <family val="2"/>
    </font>
    <font>
      <b/>
      <u/>
      <sz val="10"/>
      <color indexed="48"/>
      <name val="Arial"/>
      <family val="2"/>
    </font>
    <font>
      <b/>
      <u/>
      <sz val="10"/>
      <color indexed="23"/>
      <name val="Arial"/>
      <family val="2"/>
    </font>
    <font>
      <b/>
      <u/>
      <sz val="10"/>
      <name val="Arial"/>
      <family val="2"/>
    </font>
    <font>
      <i/>
      <sz val="10"/>
      <name val="Arial"/>
      <family val="2"/>
    </font>
    <font>
      <sz val="10"/>
      <color indexed="20"/>
      <name val="Arial"/>
      <family val="2"/>
    </font>
    <font>
      <b/>
      <sz val="16"/>
      <color indexed="10"/>
      <name val="Arial"/>
      <family val="2"/>
    </font>
    <font>
      <b/>
      <sz val="12"/>
      <color indexed="10"/>
      <name val="Arial"/>
      <family val="2"/>
    </font>
    <font>
      <sz val="14"/>
      <color indexed="8"/>
      <name val="Calibri"/>
      <family val="2"/>
    </font>
    <font>
      <b/>
      <sz val="16"/>
      <color indexed="8"/>
      <name val="Calibri"/>
      <family val="2"/>
    </font>
    <font>
      <sz val="11"/>
      <color indexed="8"/>
      <name val="Arial"/>
      <family val="2"/>
    </font>
    <font>
      <sz val="11"/>
      <name val="Arial"/>
      <family val="2"/>
    </font>
    <font>
      <sz val="10"/>
      <name val="MS Sans Serif"/>
      <family val="2"/>
    </font>
    <font>
      <sz val="11"/>
      <color indexed="10"/>
      <name val="Arial"/>
      <family val="2"/>
    </font>
    <font>
      <b/>
      <sz val="8"/>
      <color indexed="12"/>
      <name val="Arial"/>
      <family val="2"/>
    </font>
    <font>
      <b/>
      <sz val="10"/>
      <color indexed="55"/>
      <name val="Arial"/>
      <family val="2"/>
    </font>
    <font>
      <u/>
      <sz val="8"/>
      <color indexed="12"/>
      <name val="Arial"/>
      <family val="2"/>
    </font>
    <font>
      <b/>
      <sz val="9"/>
      <color indexed="17"/>
      <name val="Arial"/>
      <family val="2"/>
    </font>
    <font>
      <b/>
      <sz val="9"/>
      <name val="Arial"/>
      <family val="2"/>
    </font>
    <font>
      <b/>
      <sz val="9"/>
      <color indexed="48"/>
      <name val="Arial"/>
      <family val="2"/>
    </font>
    <font>
      <sz val="9"/>
      <color indexed="9"/>
      <name val="Arial"/>
      <family val="2"/>
    </font>
    <font>
      <b/>
      <sz val="8"/>
      <color indexed="9"/>
      <name val="Arial"/>
      <family val="2"/>
    </font>
    <font>
      <sz val="8"/>
      <name val="Arial"/>
      <family val="2"/>
    </font>
    <font>
      <b/>
      <sz val="8"/>
      <color indexed="17"/>
      <name val="Arial"/>
      <family val="2"/>
    </font>
    <font>
      <b/>
      <u/>
      <sz val="8"/>
      <color indexed="23"/>
      <name val="Arial"/>
      <family val="2"/>
    </font>
    <font>
      <b/>
      <u/>
      <sz val="8"/>
      <color indexed="17"/>
      <name val="Arial"/>
      <family val="2"/>
    </font>
    <font>
      <b/>
      <u/>
      <sz val="9"/>
      <color indexed="48"/>
      <name val="Arial"/>
      <family val="2"/>
    </font>
    <font>
      <b/>
      <u/>
      <sz val="9"/>
      <color indexed="17"/>
      <name val="Arial"/>
      <family val="2"/>
    </font>
    <font>
      <u/>
      <sz val="9"/>
      <color indexed="12"/>
      <name val="Arial"/>
    </font>
  </fonts>
  <fills count="17">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63"/>
        <bgColor indexed="64"/>
      </patternFill>
    </fill>
    <fill>
      <patternFill patternType="solid">
        <fgColor indexed="26"/>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indexed="17"/>
        <bgColor indexed="64"/>
      </patternFill>
    </fill>
    <fill>
      <patternFill patternType="solid">
        <fgColor indexed="13"/>
        <bgColor indexed="64"/>
      </patternFill>
    </fill>
    <fill>
      <patternFill patternType="solid">
        <fgColor indexed="10"/>
        <bgColor indexed="64"/>
      </patternFill>
    </fill>
    <fill>
      <patternFill patternType="solid">
        <fgColor indexed="4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3"/>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3"/>
      </left>
      <right/>
      <top style="thin">
        <color indexed="63"/>
      </top>
      <bottom/>
      <diagonal/>
    </border>
    <border>
      <left style="thin">
        <color indexed="64"/>
      </left>
      <right/>
      <top/>
      <bottom style="thin">
        <color indexed="64"/>
      </bottom>
      <diagonal/>
    </border>
    <border>
      <left style="medium">
        <color indexed="64"/>
      </left>
      <right/>
      <top style="thin">
        <color indexed="63"/>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29" fillId="0" borderId="0"/>
  </cellStyleXfs>
  <cellXfs count="330">
    <xf numFmtId="0" fontId="0" fillId="0" borderId="0" xfId="0"/>
    <xf numFmtId="0" fontId="2" fillId="0" borderId="0" xfId="0" applyFont="1" applyFill="1" applyBorder="1" applyAlignment="1" applyProtection="1">
      <alignment horizontal="left" vertical="center"/>
      <protection locked="0"/>
    </xf>
    <xf numFmtId="0" fontId="1"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 fillId="0" borderId="0" xfId="0" applyFont="1" applyBorder="1" applyAlignment="1" applyProtection="1">
      <alignment vertical="center"/>
    </xf>
    <xf numFmtId="0" fontId="1" fillId="0" borderId="0"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 fillId="0" borderId="0" xfId="0" applyFont="1" applyFill="1" applyBorder="1" applyAlignment="1" applyProtection="1">
      <alignment vertical="top"/>
    </xf>
    <xf numFmtId="0" fontId="7" fillId="0"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3" fillId="0" borderId="0" xfId="0" applyFont="1" applyBorder="1" applyAlignment="1" applyProtection="1">
      <alignment vertical="center"/>
    </xf>
    <xf numFmtId="0" fontId="8"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8" fillId="0" borderId="0" xfId="0" quotePrefix="1" applyNumberFormat="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2"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 fillId="4" borderId="3" xfId="0" applyFont="1" applyFill="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Fill="1" applyBorder="1" applyAlignment="1" applyProtection="1">
      <alignment horizontal="left" vertical="top" wrapText="1"/>
      <protection locked="0"/>
    </xf>
    <xf numFmtId="0" fontId="1" fillId="5" borderId="1" xfId="0" applyFont="1" applyFill="1" applyBorder="1" applyAlignment="1" applyProtection="1">
      <alignment horizontal="left" vertical="top" wrapText="1"/>
      <protection locked="0"/>
    </xf>
    <xf numFmtId="0" fontId="1" fillId="6" borderId="1" xfId="0" applyFont="1" applyFill="1" applyBorder="1" applyAlignment="1">
      <alignment horizontal="left" vertical="top" wrapText="1"/>
    </xf>
    <xf numFmtId="0" fontId="1" fillId="0" borderId="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6" borderId="1" xfId="0" applyFont="1" applyFill="1" applyBorder="1" applyAlignment="1" applyProtection="1">
      <alignment horizontal="left" vertical="top" wrapText="1"/>
    </xf>
    <xf numFmtId="0" fontId="7" fillId="0" borderId="5" xfId="0" applyFont="1" applyFill="1" applyBorder="1" applyAlignment="1" applyProtection="1">
      <alignment vertical="center" wrapText="1"/>
    </xf>
    <xf numFmtId="0" fontId="7" fillId="0" borderId="0" xfId="0" quotePrefix="1"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0" xfId="0" quotePrefix="1" applyNumberFormat="1" applyFont="1" applyFill="1" applyBorder="1" applyAlignment="1" applyProtection="1">
      <alignment vertical="center"/>
    </xf>
    <xf numFmtId="0" fontId="1" fillId="0" borderId="0" xfId="0" quotePrefix="1"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2" fontId="1" fillId="0" borderId="0" xfId="0" applyNumberFormat="1" applyFont="1" applyFill="1" applyBorder="1" applyAlignment="1" applyProtection="1">
      <alignment horizontal="left" vertical="center"/>
    </xf>
    <xf numFmtId="0" fontId="13" fillId="0" borderId="0" xfId="0" quotePrefix="1"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1" fillId="0" borderId="0" xfId="0" applyFont="1" applyFill="1" applyBorder="1" applyAlignment="1" applyProtection="1">
      <alignment vertical="top" wrapText="1"/>
    </xf>
    <xf numFmtId="0" fontId="2" fillId="0" borderId="3" xfId="0" applyFont="1" applyBorder="1" applyAlignment="1" applyProtection="1">
      <alignment vertical="center"/>
      <protection hidden="1"/>
    </xf>
    <xf numFmtId="0" fontId="1" fillId="0"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22" fillId="0" borderId="3" xfId="0" applyFont="1" applyBorder="1" applyAlignment="1" applyProtection="1">
      <alignment vertical="center"/>
      <protection hidden="1"/>
    </xf>
    <xf numFmtId="0" fontId="1" fillId="0" borderId="3" xfId="0" applyFont="1" applyBorder="1" applyAlignment="1" applyProtection="1">
      <alignment vertical="center"/>
      <protection hidden="1"/>
    </xf>
    <xf numFmtId="0" fontId="1" fillId="0" borderId="3" xfId="0" applyFont="1" applyFill="1" applyBorder="1" applyAlignment="1" applyProtection="1">
      <alignment horizontal="left" vertical="center"/>
      <protection hidden="1"/>
    </xf>
    <xf numFmtId="0" fontId="10" fillId="0" borderId="3" xfId="0" applyFont="1" applyFill="1" applyBorder="1" applyAlignment="1" applyProtection="1">
      <alignment horizontal="left" vertical="center"/>
      <protection hidden="1"/>
    </xf>
    <xf numFmtId="0" fontId="1" fillId="4" borderId="3" xfId="0" applyFont="1" applyFill="1" applyBorder="1" applyAlignment="1" applyProtection="1">
      <alignment horizontal="left" vertical="center"/>
      <protection hidden="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top" wrapText="1"/>
    </xf>
    <xf numFmtId="0" fontId="10" fillId="0" borderId="3" xfId="0" applyFont="1" applyFill="1" applyBorder="1" applyAlignment="1" applyProtection="1">
      <alignment vertical="center"/>
      <protection hidden="1"/>
    </xf>
    <xf numFmtId="0" fontId="5" fillId="7" borderId="6" xfId="0" applyFont="1" applyFill="1" applyBorder="1" applyAlignment="1" applyProtection="1">
      <alignment vertical="center"/>
    </xf>
    <xf numFmtId="0" fontId="1" fillId="8" borderId="1" xfId="0" applyFont="1" applyFill="1" applyBorder="1" applyAlignment="1" applyProtection="1">
      <alignment horizontal="center" vertical="center"/>
    </xf>
    <xf numFmtId="0" fontId="0" fillId="0" borderId="0" xfId="0" applyAlignment="1" applyProtection="1">
      <protection hidden="1"/>
    </xf>
    <xf numFmtId="0" fontId="25" fillId="0" borderId="0" xfId="0" applyFont="1" applyAlignment="1" applyProtection="1">
      <protection hidden="1"/>
    </xf>
    <xf numFmtId="0" fontId="0" fillId="0" borderId="0" xfId="0" applyAlignment="1" applyProtection="1">
      <alignment wrapText="1"/>
      <protection hidden="1"/>
    </xf>
    <xf numFmtId="0" fontId="0" fillId="0" borderId="0" xfId="0" applyAlignment="1" applyProtection="1">
      <alignment wrapText="1" shrinkToFit="1"/>
      <protection hidden="1"/>
    </xf>
    <xf numFmtId="0" fontId="26" fillId="0" borderId="0" xfId="0" applyFont="1" applyAlignment="1" applyProtection="1">
      <protection hidden="1"/>
    </xf>
    <xf numFmtId="0" fontId="0" fillId="9" borderId="1" xfId="0" applyFill="1" applyBorder="1" applyAlignment="1" applyProtection="1">
      <protection hidden="1"/>
    </xf>
    <xf numFmtId="0" fontId="0" fillId="9" borderId="1" xfId="0" applyFill="1" applyBorder="1" applyAlignment="1" applyProtection="1">
      <alignment wrapText="1"/>
      <protection hidden="1"/>
    </xf>
    <xf numFmtId="0" fontId="0" fillId="9" borderId="1" xfId="0" applyFill="1" applyBorder="1" applyAlignment="1" applyProtection="1">
      <alignment wrapText="1" shrinkToFit="1"/>
      <protection hidden="1"/>
    </xf>
    <xf numFmtId="0" fontId="27" fillId="0" borderId="0" xfId="0" applyFont="1" applyAlignment="1" applyProtection="1">
      <protection hidden="1"/>
    </xf>
    <xf numFmtId="0" fontId="28" fillId="0" borderId="1" xfId="2" applyFont="1" applyFill="1" applyBorder="1" applyAlignment="1" applyProtection="1">
      <protection hidden="1"/>
    </xf>
    <xf numFmtId="0" fontId="28" fillId="0" borderId="1" xfId="2" applyFont="1" applyFill="1" applyBorder="1" applyAlignment="1" applyProtection="1">
      <alignment wrapText="1"/>
      <protection hidden="1"/>
    </xf>
    <xf numFmtId="0" fontId="28" fillId="0" borderId="1" xfId="2" applyFont="1" applyFill="1" applyBorder="1" applyAlignment="1" applyProtection="1">
      <alignment wrapText="1" shrinkToFit="1"/>
      <protection hidden="1"/>
    </xf>
    <xf numFmtId="0" fontId="27" fillId="0" borderId="1" xfId="0" applyFont="1" applyFill="1" applyBorder="1" applyAlignment="1" applyProtection="1">
      <alignment vertical="center" wrapText="1" shrinkToFit="1"/>
      <protection hidden="1"/>
    </xf>
    <xf numFmtId="3" fontId="27" fillId="0" borderId="1" xfId="0" applyNumberFormat="1" applyFont="1" applyFill="1" applyBorder="1" applyAlignment="1" applyProtection="1">
      <alignment wrapText="1"/>
      <protection hidden="1"/>
    </xf>
    <xf numFmtId="0" fontId="27" fillId="0" borderId="1" xfId="0" applyFont="1" applyFill="1" applyBorder="1" applyAlignment="1" applyProtection="1">
      <alignment wrapText="1"/>
      <protection hidden="1"/>
    </xf>
    <xf numFmtId="0" fontId="27" fillId="0" borderId="1" xfId="0" applyFont="1" applyFill="1" applyBorder="1" applyAlignment="1" applyProtection="1">
      <alignment wrapText="1" shrinkToFit="1"/>
      <protection hidden="1"/>
    </xf>
    <xf numFmtId="0" fontId="28" fillId="0" borderId="1" xfId="0" applyFont="1" applyFill="1" applyBorder="1" applyAlignment="1" applyProtection="1">
      <protection hidden="1"/>
    </xf>
    <xf numFmtId="0" fontId="28" fillId="0" borderId="1" xfId="0" applyFont="1" applyFill="1" applyBorder="1" applyAlignment="1" applyProtection="1">
      <alignment wrapText="1"/>
      <protection hidden="1"/>
    </xf>
    <xf numFmtId="0" fontId="28" fillId="0" borderId="1" xfId="0" applyFont="1" applyFill="1" applyBorder="1" applyAlignment="1" applyProtection="1">
      <alignment vertical="center" wrapText="1" shrinkToFit="1"/>
      <protection hidden="1"/>
    </xf>
    <xf numFmtId="0" fontId="30" fillId="0" borderId="1" xfId="0" applyFont="1" applyFill="1" applyBorder="1" applyAlignment="1" applyProtection="1">
      <alignment wrapText="1" shrinkToFit="1"/>
      <protection hidden="1"/>
    </xf>
    <xf numFmtId="0" fontId="30" fillId="0" borderId="1" xfId="0" applyFont="1" applyFill="1" applyBorder="1" applyAlignment="1" applyProtection="1">
      <alignment vertical="center" wrapText="1" shrinkToFit="1"/>
      <protection hidden="1"/>
    </xf>
    <xf numFmtId="0" fontId="28" fillId="0" borderId="1" xfId="0" applyFont="1" applyFill="1" applyBorder="1" applyAlignment="1" applyProtection="1">
      <alignment wrapText="1" shrinkToFit="1"/>
      <protection hidden="1"/>
    </xf>
    <xf numFmtId="0" fontId="27" fillId="0" borderId="1" xfId="0" applyFont="1" applyFill="1" applyBorder="1" applyAlignment="1" applyProtection="1">
      <protection hidden="1"/>
    </xf>
    <xf numFmtId="3" fontId="27" fillId="0" borderId="1" xfId="0" applyNumberFormat="1" applyFont="1" applyFill="1" applyBorder="1" applyAlignment="1" applyProtection="1">
      <alignment wrapText="1" shrinkToFit="1"/>
      <protection hidden="1"/>
    </xf>
    <xf numFmtId="0" fontId="0" fillId="0" borderId="0" xfId="0" applyProtection="1">
      <protection hidden="1"/>
    </xf>
    <xf numFmtId="0" fontId="2" fillId="0" borderId="0" xfId="0" applyFont="1" applyFill="1" applyBorder="1" applyAlignment="1" applyProtection="1">
      <alignment horizontal="left" vertical="center"/>
      <protection hidden="1"/>
    </xf>
    <xf numFmtId="0" fontId="1" fillId="6" borderId="1"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center"/>
      <protection hidden="1"/>
    </xf>
    <xf numFmtId="0" fontId="1" fillId="0" borderId="0" xfId="0" applyFont="1" applyBorder="1" applyAlignment="1" applyProtection="1">
      <alignment vertical="center"/>
      <protection hidden="1"/>
    </xf>
    <xf numFmtId="0" fontId="5" fillId="3" borderId="7" xfId="0" applyFont="1" applyFill="1" applyBorder="1" applyAlignment="1" applyProtection="1">
      <alignment horizontal="left" vertical="center"/>
    </xf>
    <xf numFmtId="0" fontId="7" fillId="4" borderId="3" xfId="0" applyFont="1" applyFill="1" applyBorder="1" applyAlignment="1" applyProtection="1">
      <alignment horizontal="left" vertical="center"/>
      <protection hidden="1"/>
    </xf>
    <xf numFmtId="0" fontId="3" fillId="0" borderId="1" xfId="0" applyFont="1" applyBorder="1" applyAlignment="1" applyProtection="1">
      <alignment vertical="center"/>
      <protection hidden="1"/>
    </xf>
    <xf numFmtId="0" fontId="7" fillId="2" borderId="1" xfId="0" applyFont="1" applyFill="1" applyBorder="1" applyAlignment="1" applyProtection="1">
      <alignment horizontal="center" vertical="center"/>
      <protection locked="0"/>
    </xf>
    <xf numFmtId="0" fontId="1"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1" fillId="0" borderId="8" xfId="0" applyFont="1" applyFill="1" applyBorder="1" applyAlignment="1" applyProtection="1">
      <alignment vertical="center"/>
      <protection hidden="1"/>
    </xf>
    <xf numFmtId="171" fontId="1" fillId="10" borderId="1" xfId="0" applyNumberFormat="1" applyFont="1" applyFill="1" applyBorder="1" applyAlignment="1" applyProtection="1">
      <alignment horizontal="center" vertical="center"/>
      <protection locked="0"/>
    </xf>
    <xf numFmtId="0" fontId="1" fillId="0" borderId="8" xfId="0" applyFont="1" applyBorder="1" applyAlignment="1" applyProtection="1">
      <alignment vertical="center"/>
      <protection hidden="1"/>
    </xf>
    <xf numFmtId="0" fontId="4" fillId="0" borderId="0" xfId="0" quotePrefix="1" applyNumberFormat="1" applyFont="1" applyFill="1" applyBorder="1" applyAlignment="1" applyProtection="1">
      <alignment horizontal="left" vertical="center"/>
    </xf>
    <xf numFmtId="0" fontId="0" fillId="0" borderId="0" xfId="0" applyBorder="1" applyAlignment="1"/>
    <xf numFmtId="0" fontId="1" fillId="0" borderId="1" xfId="0" applyFont="1" applyBorder="1" applyProtection="1">
      <protection hidden="1"/>
    </xf>
    <xf numFmtId="0" fontId="10" fillId="0" borderId="4" xfId="0" applyFont="1" applyFill="1" applyBorder="1" applyAlignment="1" applyProtection="1">
      <alignment vertical="center"/>
      <protection hidden="1"/>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0" fillId="0" borderId="10" xfId="0" applyBorder="1" applyAlignment="1"/>
    <xf numFmtId="0" fontId="1" fillId="0" borderId="5" xfId="0" applyFont="1" applyBorder="1" applyAlignment="1" applyProtection="1">
      <alignment vertical="center"/>
    </xf>
    <xf numFmtId="9" fontId="1" fillId="6" borderId="1" xfId="0" applyNumberFormat="1" applyFont="1" applyFill="1" applyBorder="1" applyAlignment="1" applyProtection="1">
      <alignment horizontal="left" vertical="top" wrapText="1"/>
    </xf>
    <xf numFmtId="0" fontId="7" fillId="0" borderId="0"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3" borderId="2" xfId="0" applyFont="1" applyFill="1" applyBorder="1" applyAlignment="1" applyProtection="1">
      <alignment vertical="top"/>
    </xf>
    <xf numFmtId="0" fontId="1" fillId="0" borderId="0" xfId="0" applyFont="1" applyBorder="1" applyAlignment="1" applyProtection="1">
      <alignment vertical="top" wrapText="1"/>
    </xf>
    <xf numFmtId="0" fontId="10" fillId="0" borderId="0" xfId="0" applyFont="1" applyBorder="1" applyAlignment="1" applyProtection="1">
      <alignment vertical="top" wrapText="1"/>
    </xf>
    <xf numFmtId="0" fontId="5" fillId="11" borderId="12" xfId="0" applyFont="1" applyFill="1" applyBorder="1" applyAlignment="1" applyProtection="1">
      <alignment vertical="top" wrapText="1"/>
    </xf>
    <xf numFmtId="0" fontId="7" fillId="0" borderId="0" xfId="0" applyFont="1" applyAlignment="1">
      <alignment vertical="top" wrapText="1"/>
    </xf>
    <xf numFmtId="0" fontId="12" fillId="0" borderId="0" xfId="0" applyFont="1" applyBorder="1" applyAlignment="1" applyProtection="1">
      <alignment vertical="top" wrapText="1"/>
    </xf>
    <xf numFmtId="0" fontId="3" fillId="0" borderId="0" xfId="0" applyFont="1" applyBorder="1" applyAlignment="1" applyProtection="1">
      <alignment vertical="top" wrapText="1"/>
    </xf>
    <xf numFmtId="0" fontId="32" fillId="0" borderId="11" xfId="0" applyFont="1" applyBorder="1" applyAlignment="1" applyProtection="1">
      <alignment vertical="top" wrapText="1"/>
    </xf>
    <xf numFmtId="168" fontId="1" fillId="0" borderId="1" xfId="0" applyNumberFormat="1" applyFont="1" applyBorder="1" applyAlignment="1" applyProtection="1">
      <alignment horizontal="left" vertical="top" wrapText="1"/>
      <protection locked="0"/>
    </xf>
    <xf numFmtId="3" fontId="1" fillId="0" borderId="1" xfId="0" applyNumberFormat="1" applyFont="1" applyBorder="1" applyAlignment="1" applyProtection="1">
      <alignment horizontal="left" vertical="top" wrapText="1"/>
      <protection locked="0"/>
    </xf>
    <xf numFmtId="169" fontId="1" fillId="0" borderId="1" xfId="0" applyNumberFormat="1" applyFont="1" applyBorder="1" applyAlignment="1" applyProtection="1">
      <alignment horizontal="left" vertical="top" wrapText="1"/>
      <protection locked="0"/>
    </xf>
    <xf numFmtId="0" fontId="1" fillId="0" borderId="1" xfId="0" applyNumberFormat="1" applyFont="1" applyBorder="1" applyAlignment="1" applyProtection="1">
      <alignment horizontal="left" vertical="top" wrapText="1"/>
      <protection locked="0"/>
    </xf>
    <xf numFmtId="14" fontId="1" fillId="0" borderId="1" xfId="0" applyNumberFormat="1" applyFont="1" applyBorder="1" applyAlignment="1" applyProtection="1">
      <alignment horizontal="left" vertical="top" wrapText="1"/>
      <protection locked="0"/>
    </xf>
    <xf numFmtId="9" fontId="1" fillId="6" borderId="8" xfId="0" applyNumberFormat="1" applyFont="1" applyFill="1" applyBorder="1" applyAlignment="1" applyProtection="1">
      <alignment horizontal="left" vertical="top" wrapText="1"/>
    </xf>
    <xf numFmtId="0" fontId="1" fillId="0" borderId="1" xfId="0" applyFont="1" applyBorder="1" applyAlignment="1" applyProtection="1">
      <alignment horizontal="left" vertical="top" wrapText="1"/>
      <protection locked="0"/>
    </xf>
    <xf numFmtId="167" fontId="1" fillId="0" borderId="1" xfId="0" applyNumberFormat="1" applyFont="1" applyBorder="1" applyAlignment="1" applyProtection="1">
      <alignment horizontal="left" vertical="top" wrapText="1"/>
      <protection locked="0"/>
    </xf>
    <xf numFmtId="0" fontId="1" fillId="12" borderId="13" xfId="0" applyFont="1" applyFill="1" applyBorder="1" applyAlignment="1" applyProtection="1">
      <alignment horizontal="center" vertical="center"/>
      <protection locked="0"/>
    </xf>
    <xf numFmtId="0" fontId="1" fillId="12" borderId="1"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6" fillId="3" borderId="0" xfId="0" applyFont="1" applyFill="1" applyBorder="1" applyAlignment="1" applyProtection="1">
      <alignment horizontal="right" vertical="center"/>
      <protection locked="0"/>
    </xf>
    <xf numFmtId="0" fontId="5"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24" fillId="0" borderId="11" xfId="0" applyFont="1" applyBorder="1" applyAlignment="1" applyProtection="1">
      <alignment vertical="center"/>
      <protection locked="0"/>
    </xf>
    <xf numFmtId="0" fontId="7" fillId="0" borderId="11" xfId="0" applyFont="1" applyBorder="1" applyAlignment="1" applyProtection="1">
      <alignment horizontal="center" vertical="center"/>
      <protection locked="0"/>
    </xf>
    <xf numFmtId="0" fontId="2" fillId="0" borderId="11" xfId="0" applyFont="1" applyFill="1" applyBorder="1" applyAlignment="1" applyProtection="1">
      <alignment horizontal="left" vertical="center"/>
      <protection locked="0"/>
    </xf>
    <xf numFmtId="0" fontId="1" fillId="0" borderId="0" xfId="0" quotePrefix="1" applyNumberFormat="1" applyFont="1" applyFill="1" applyBorder="1" applyAlignment="1" applyProtection="1">
      <alignment horizontal="left" vertical="center"/>
    </xf>
    <xf numFmtId="0" fontId="18" fillId="0" borderId="0" xfId="1" applyFont="1" applyBorder="1" applyAlignment="1" applyProtection="1">
      <alignment vertical="center"/>
    </xf>
    <xf numFmtId="0" fontId="17" fillId="0" borderId="0" xfId="1" applyFont="1" applyBorder="1" applyAlignment="1" applyProtection="1">
      <alignment vertical="center"/>
    </xf>
    <xf numFmtId="0" fontId="1" fillId="0" borderId="14"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2" xfId="0" applyFont="1" applyFill="1" applyBorder="1" applyAlignment="1" applyProtection="1">
      <alignment vertical="top" wrapText="1"/>
    </xf>
    <xf numFmtId="0" fontId="21" fillId="6" borderId="12" xfId="0" applyFont="1" applyFill="1" applyBorder="1" applyAlignment="1" applyProtection="1">
      <alignment vertical="top" wrapText="1"/>
    </xf>
    <xf numFmtId="0" fontId="3" fillId="0" borderId="12" xfId="0" applyFont="1" applyBorder="1" applyAlignment="1" applyProtection="1">
      <alignment vertical="top" wrapText="1"/>
    </xf>
    <xf numFmtId="0" fontId="3" fillId="0" borderId="15" xfId="0" applyFont="1" applyBorder="1" applyAlignment="1" applyProtection="1">
      <alignment vertical="top" wrapText="1"/>
    </xf>
    <xf numFmtId="0" fontId="5" fillId="11" borderId="0" xfId="0" applyFont="1" applyFill="1" applyBorder="1" applyAlignment="1" applyProtection="1">
      <alignment vertical="top" wrapText="1"/>
    </xf>
    <xf numFmtId="0" fontId="1" fillId="0" borderId="0" xfId="0" applyFont="1" applyAlignment="1">
      <alignment vertical="top" wrapText="1"/>
    </xf>
    <xf numFmtId="0" fontId="20" fillId="0" borderId="14" xfId="1" applyNumberFormat="1" applyFont="1" applyFill="1" applyBorder="1" applyAlignment="1" applyProtection="1">
      <alignment vertical="top" wrapText="1"/>
    </xf>
    <xf numFmtId="0" fontId="35" fillId="0" borderId="12" xfId="0" applyNumberFormat="1" applyFont="1" applyFill="1" applyBorder="1" applyAlignment="1" applyProtection="1">
      <alignment horizontal="right" vertical="top" wrapText="1"/>
    </xf>
    <xf numFmtId="0" fontId="34" fillId="0" borderId="12" xfId="0" applyNumberFormat="1" applyFont="1" applyFill="1" applyBorder="1" applyAlignment="1" applyProtection="1">
      <alignment horizontal="right" vertical="top" wrapText="1"/>
    </xf>
    <xf numFmtId="0" fontId="36" fillId="0" borderId="12" xfId="0" applyNumberFormat="1" applyFont="1" applyFill="1" applyBorder="1" applyAlignment="1" applyProtection="1">
      <alignment horizontal="right" vertical="top" wrapText="1"/>
    </xf>
    <xf numFmtId="0" fontId="1" fillId="0" borderId="10" xfId="0" applyFont="1" applyBorder="1" applyAlignment="1" applyProtection="1">
      <alignment vertical="top" wrapText="1"/>
    </xf>
    <xf numFmtId="0" fontId="1" fillId="0" borderId="10" xfId="0" applyNumberFormat="1" applyFont="1" applyFill="1" applyBorder="1" applyAlignment="1" applyProtection="1">
      <alignment vertical="top" wrapText="1"/>
    </xf>
    <xf numFmtId="0" fontId="1" fillId="0" borderId="11" xfId="0" applyFont="1" applyBorder="1" applyAlignment="1">
      <alignment vertical="top" wrapText="1"/>
    </xf>
    <xf numFmtId="0" fontId="19" fillId="0" borderId="14" xfId="1" applyNumberFormat="1" applyFont="1" applyFill="1" applyBorder="1" applyAlignment="1" applyProtection="1">
      <alignment vertical="top" wrapText="1"/>
    </xf>
    <xf numFmtId="0" fontId="36" fillId="0" borderId="15" xfId="0" applyNumberFormat="1" applyFont="1" applyFill="1" applyBorder="1" applyAlignment="1" applyProtection="1">
      <alignment horizontal="right" vertical="top" wrapText="1"/>
    </xf>
    <xf numFmtId="0" fontId="1" fillId="0" borderId="0" xfId="0" applyFont="1" applyBorder="1" applyAlignment="1">
      <alignment vertical="top" wrapText="1"/>
    </xf>
    <xf numFmtId="0" fontId="1" fillId="0" borderId="11" xfId="0" applyFont="1" applyBorder="1" applyAlignment="1" applyProtection="1">
      <alignment vertical="top" wrapText="1"/>
    </xf>
    <xf numFmtId="0" fontId="10" fillId="0" borderId="0" xfId="0" applyNumberFormat="1" applyFont="1" applyFill="1" applyBorder="1" applyAlignment="1" applyProtection="1">
      <alignment vertical="top" wrapText="1"/>
    </xf>
    <xf numFmtId="0" fontId="10" fillId="0" borderId="11" xfId="0" applyFont="1" applyBorder="1" applyAlignment="1" applyProtection="1">
      <alignment vertical="top" wrapText="1"/>
    </xf>
    <xf numFmtId="0" fontId="10" fillId="0" borderId="11" xfId="0" applyNumberFormat="1" applyFont="1" applyFill="1" applyBorder="1" applyAlignment="1" applyProtection="1">
      <alignment vertical="top" wrapText="1"/>
    </xf>
    <xf numFmtId="0" fontId="10" fillId="0" borderId="16" xfId="0" applyNumberFormat="1" applyFont="1" applyFill="1" applyBorder="1" applyAlignment="1" applyProtection="1">
      <alignment vertical="top" wrapText="1"/>
    </xf>
    <xf numFmtId="0" fontId="5" fillId="3" borderId="17" xfId="0" applyFont="1" applyFill="1" applyBorder="1" applyAlignment="1" applyProtection="1">
      <alignment horizontal="center" vertical="center"/>
    </xf>
    <xf numFmtId="0" fontId="5" fillId="11" borderId="10" xfId="0" applyFont="1" applyFill="1" applyBorder="1" applyAlignment="1" applyProtection="1">
      <alignment horizontal="right" vertical="center"/>
    </xf>
    <xf numFmtId="0" fontId="5" fillId="11" borderId="10" xfId="0" applyFont="1" applyFill="1" applyBorder="1" applyAlignment="1" applyProtection="1">
      <alignment horizontal="left" vertical="center"/>
    </xf>
    <xf numFmtId="0" fontId="37" fillId="11" borderId="10" xfId="0" applyFont="1" applyFill="1" applyBorder="1" applyAlignment="1" applyProtection="1">
      <alignment horizontal="right" vertical="center"/>
    </xf>
    <xf numFmtId="0" fontId="5" fillId="11" borderId="11" xfId="0" applyFont="1" applyFill="1" applyBorder="1" applyAlignment="1" applyProtection="1">
      <alignment horizontal="left" vertical="center"/>
    </xf>
    <xf numFmtId="0" fontId="37" fillId="11" borderId="11" xfId="0" applyFont="1" applyFill="1" applyBorder="1" applyAlignment="1" applyProtection="1">
      <alignment horizontal="right" vertical="center"/>
    </xf>
    <xf numFmtId="0" fontId="7" fillId="2" borderId="18" xfId="0" applyFont="1" applyFill="1" applyBorder="1" applyAlignment="1" applyProtection="1">
      <alignment horizontal="center" vertical="center"/>
      <protection locked="0"/>
    </xf>
    <xf numFmtId="0" fontId="1" fillId="0" borderId="19" xfId="0" quotePrefix="1" applyNumberFormat="1" applyFont="1" applyBorder="1" applyAlignment="1" applyProtection="1">
      <alignment horizontal="center" vertical="center"/>
    </xf>
    <xf numFmtId="0" fontId="7" fillId="2" borderId="20" xfId="0" applyFont="1" applyFill="1" applyBorder="1" applyAlignment="1" applyProtection="1">
      <alignment horizontal="center" vertical="center"/>
      <protection locked="0"/>
    </xf>
    <xf numFmtId="0" fontId="7" fillId="0" borderId="0" xfId="0" applyFont="1"/>
    <xf numFmtId="0" fontId="3" fillId="6" borderId="18" xfId="0" applyFont="1" applyFill="1" applyBorder="1" applyAlignment="1" applyProtection="1">
      <alignment horizontal="center" vertical="center"/>
    </xf>
    <xf numFmtId="0" fontId="8" fillId="0" borderId="12" xfId="0" applyNumberFormat="1" applyFont="1" applyFill="1" applyBorder="1" applyAlignment="1" applyProtection="1">
      <alignment vertical="center"/>
    </xf>
    <xf numFmtId="0" fontId="3" fillId="0" borderId="19" xfId="0" applyFont="1" applyBorder="1" applyAlignment="1" applyProtection="1">
      <alignment vertical="center"/>
    </xf>
    <xf numFmtId="0" fontId="1" fillId="0" borderId="19" xfId="0" applyFont="1" applyFill="1" applyBorder="1" applyAlignment="1" applyProtection="1">
      <alignment vertical="top" wrapText="1"/>
    </xf>
    <xf numFmtId="0" fontId="1" fillId="0" borderId="19" xfId="0" applyFont="1" applyFill="1" applyBorder="1" applyAlignment="1" applyProtection="1">
      <alignment vertical="center"/>
    </xf>
    <xf numFmtId="0" fontId="7" fillId="2" borderId="13"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7" fillId="6"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2" xfId="0" applyFont="1" applyBorder="1" applyAlignment="1" applyProtection="1">
      <alignment horizontal="center" vertical="center"/>
    </xf>
    <xf numFmtId="0" fontId="7" fillId="6" borderId="16" xfId="0" applyFont="1" applyFill="1" applyBorder="1" applyAlignment="1" applyProtection="1">
      <alignment horizontal="left" vertical="center"/>
    </xf>
    <xf numFmtId="0" fontId="3" fillId="6" borderId="16" xfId="0" applyFont="1" applyFill="1" applyBorder="1" applyAlignment="1" applyProtection="1">
      <alignment vertical="center"/>
    </xf>
    <xf numFmtId="9" fontId="7" fillId="6" borderId="21" xfId="0" applyNumberFormat="1"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1" fillId="0" borderId="19" xfId="0" applyNumberFormat="1" applyFont="1" applyBorder="1" applyAlignment="1" applyProtection="1">
      <alignment horizontal="center" vertical="center"/>
    </xf>
    <xf numFmtId="0" fontId="7" fillId="4" borderId="3" xfId="0" applyFont="1" applyFill="1" applyBorder="1" applyAlignment="1" applyProtection="1">
      <alignment vertical="center"/>
      <protection hidden="1"/>
    </xf>
    <xf numFmtId="0" fontId="2" fillId="0" borderId="12" xfId="0" applyFont="1" applyFill="1" applyBorder="1" applyAlignment="1" applyProtection="1">
      <alignment horizontal="left" vertical="center"/>
      <protection locked="0"/>
    </xf>
    <xf numFmtId="9" fontId="1" fillId="0" borderId="0" xfId="0" quotePrefix="1" applyNumberFormat="1" applyFont="1" applyFill="1" applyBorder="1" applyAlignment="1" applyProtection="1">
      <alignment horizontal="left" vertical="center"/>
    </xf>
    <xf numFmtId="0" fontId="8" fillId="0" borderId="19" xfId="0" quotePrefix="1" applyNumberFormat="1" applyFont="1" applyBorder="1" applyAlignment="1" applyProtection="1">
      <alignment horizontal="center" vertical="center"/>
    </xf>
    <xf numFmtId="0" fontId="5" fillId="11" borderId="10" xfId="0" applyFont="1" applyFill="1" applyBorder="1" applyAlignment="1" applyProtection="1">
      <alignment vertical="center"/>
    </xf>
    <xf numFmtId="0" fontId="6" fillId="11" borderId="10" xfId="0" applyFont="1" applyFill="1" applyBorder="1" applyAlignment="1" applyProtection="1">
      <alignment horizontal="right" vertical="center"/>
    </xf>
    <xf numFmtId="0" fontId="5" fillId="11" borderId="11" xfId="0" applyFont="1" applyFill="1" applyBorder="1" applyAlignment="1" applyProtection="1">
      <alignment vertical="center"/>
    </xf>
    <xf numFmtId="0" fontId="39" fillId="0" borderId="0" xfId="0" applyFont="1" applyAlignment="1">
      <alignment vertical="top" wrapText="1"/>
    </xf>
    <xf numFmtId="0" fontId="38" fillId="3" borderId="22" xfId="0" applyFont="1" applyFill="1" applyBorder="1" applyAlignment="1" applyProtection="1">
      <alignment vertical="top" wrapText="1"/>
    </xf>
    <xf numFmtId="0" fontId="33" fillId="0" borderId="23" xfId="1" applyFont="1" applyFill="1" applyBorder="1" applyAlignment="1" applyProtection="1">
      <alignment vertical="top" wrapText="1"/>
    </xf>
    <xf numFmtId="0" fontId="33" fillId="0" borderId="24" xfId="1" applyNumberFormat="1" applyFont="1" applyBorder="1" applyAlignment="1" applyProtection="1">
      <alignment vertical="top" wrapText="1"/>
      <protection locked="0"/>
    </xf>
    <xf numFmtId="0" fontId="31" fillId="0" borderId="24" xfId="0" applyFont="1" applyBorder="1" applyAlignment="1" applyProtection="1">
      <alignment vertical="top" wrapText="1"/>
    </xf>
    <xf numFmtId="0" fontId="39" fillId="0" borderId="24" xfId="0" applyFont="1" applyBorder="1" applyAlignment="1" applyProtection="1">
      <alignment vertical="top" wrapText="1"/>
    </xf>
    <xf numFmtId="0" fontId="31" fillId="0" borderId="25" xfId="0" applyFont="1" applyBorder="1" applyAlignment="1" applyProtection="1">
      <alignment vertical="top" wrapText="1"/>
    </xf>
    <xf numFmtId="0" fontId="40" fillId="11" borderId="24" xfId="0" applyFont="1" applyFill="1" applyBorder="1" applyAlignment="1" applyProtection="1">
      <alignment vertical="top" wrapText="1"/>
    </xf>
    <xf numFmtId="0" fontId="33" fillId="0" borderId="23" xfId="1" applyNumberFormat="1" applyFont="1" applyFill="1" applyBorder="1" applyAlignment="1" applyProtection="1">
      <alignment vertical="top" wrapText="1"/>
    </xf>
    <xf numFmtId="0" fontId="39" fillId="0" borderId="24" xfId="0" applyFont="1" applyBorder="1" applyAlignment="1">
      <alignment vertical="top" wrapText="1"/>
    </xf>
    <xf numFmtId="0" fontId="39" fillId="0" borderId="24" xfId="0" applyFont="1" applyFill="1" applyBorder="1" applyAlignment="1" applyProtection="1">
      <alignment vertical="top" wrapText="1"/>
    </xf>
    <xf numFmtId="0" fontId="33" fillId="0" borderId="23" xfId="1" applyNumberFormat="1" applyFont="1" applyBorder="1" applyAlignment="1" applyProtection="1">
      <alignment vertical="top" wrapText="1"/>
    </xf>
    <xf numFmtId="0" fontId="39" fillId="0" borderId="25" xfId="0" applyFont="1" applyFill="1" applyBorder="1" applyAlignment="1" applyProtection="1">
      <alignment vertical="top" wrapText="1"/>
    </xf>
    <xf numFmtId="0" fontId="33" fillId="0" borderId="24" xfId="1" applyFont="1" applyBorder="1" applyAlignment="1" applyProtection="1">
      <alignment vertical="top" wrapText="1"/>
    </xf>
    <xf numFmtId="0" fontId="33" fillId="0" borderId="24" xfId="1" applyNumberFormat="1" applyFont="1" applyFill="1" applyBorder="1" applyAlignment="1" applyProtection="1">
      <alignment vertical="top" wrapText="1"/>
    </xf>
    <xf numFmtId="0" fontId="33" fillId="0" borderId="25" xfId="1" applyNumberFormat="1" applyFont="1" applyFill="1" applyBorder="1" applyAlignment="1" applyProtection="1">
      <alignment vertical="top" wrapText="1"/>
    </xf>
    <xf numFmtId="0" fontId="33" fillId="0" borderId="24" xfId="1" applyNumberFormat="1" applyFont="1" applyBorder="1" applyAlignment="1" applyProtection="1">
      <alignment vertical="top" wrapText="1"/>
    </xf>
    <xf numFmtId="0" fontId="39" fillId="0" borderId="25" xfId="0" applyFont="1" applyBorder="1" applyAlignment="1">
      <alignment vertical="top" wrapText="1"/>
    </xf>
    <xf numFmtId="0" fontId="41" fillId="0" borderId="24" xfId="1" applyNumberFormat="1" applyFont="1" applyFill="1" applyBorder="1" applyAlignment="1" applyProtection="1">
      <alignment vertical="top" wrapText="1"/>
    </xf>
    <xf numFmtId="0" fontId="33" fillId="0" borderId="25" xfId="1" applyNumberFormat="1" applyFont="1" applyBorder="1" applyAlignment="1" applyProtection="1">
      <alignment vertical="top" wrapText="1"/>
      <protection locked="0"/>
    </xf>
    <xf numFmtId="0" fontId="39" fillId="0" borderId="24" xfId="0" applyNumberFormat="1" applyFont="1" applyFill="1" applyBorder="1" applyAlignment="1" applyProtection="1">
      <alignment vertical="top" wrapText="1"/>
    </xf>
    <xf numFmtId="0" fontId="42" fillId="0" borderId="24" xfId="1" applyNumberFormat="1" applyFont="1" applyFill="1" applyBorder="1" applyAlignment="1" applyProtection="1">
      <alignment vertical="top" wrapText="1"/>
    </xf>
    <xf numFmtId="0" fontId="39" fillId="0" borderId="25" xfId="0" applyNumberFormat="1" applyFont="1" applyFill="1" applyBorder="1" applyAlignment="1" applyProtection="1">
      <alignment vertical="top" wrapText="1"/>
    </xf>
    <xf numFmtId="0" fontId="33" fillId="0" borderId="24" xfId="1" applyFont="1" applyFill="1" applyBorder="1" applyAlignment="1" applyProtection="1">
      <alignment vertical="top" wrapText="1"/>
    </xf>
    <xf numFmtId="0" fontId="39" fillId="0" borderId="26" xfId="0" applyNumberFormat="1" applyFont="1" applyFill="1" applyBorder="1" applyAlignment="1" applyProtection="1">
      <alignment vertical="top" wrapText="1"/>
    </xf>
    <xf numFmtId="0" fontId="7" fillId="0" borderId="7" xfId="0" applyFont="1" applyBorder="1" applyAlignment="1" applyProtection="1">
      <alignment horizontal="center" vertical="center"/>
      <protection locked="0"/>
    </xf>
    <xf numFmtId="0" fontId="23" fillId="0" borderId="2"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18" fillId="0" borderId="0" xfId="1" applyFont="1" applyBorder="1" applyAlignment="1" applyProtection="1"/>
    <xf numFmtId="0" fontId="2" fillId="0" borderId="2" xfId="0" applyFont="1" applyFill="1" applyBorder="1" applyAlignment="1" applyProtection="1">
      <alignment horizontal="left" vertical="center"/>
      <protection locked="0"/>
    </xf>
    <xf numFmtId="0" fontId="3" fillId="0" borderId="17" xfId="0" applyFont="1" applyBorder="1" applyAlignment="1" applyProtection="1">
      <alignment vertical="center"/>
      <protection locked="0"/>
    </xf>
    <xf numFmtId="0" fontId="7" fillId="0" borderId="15" xfId="0" applyFont="1" applyBorder="1" applyAlignment="1" applyProtection="1">
      <alignment horizontal="center" vertical="center"/>
      <protection locked="0"/>
    </xf>
    <xf numFmtId="0" fontId="3" fillId="0" borderId="27" xfId="0" applyFont="1" applyBorder="1" applyAlignment="1" applyProtection="1">
      <alignment vertical="center"/>
      <protection locked="0"/>
    </xf>
    <xf numFmtId="0" fontId="5" fillId="3" borderId="12" xfId="0" applyFont="1" applyFill="1" applyBorder="1" applyAlignment="1" applyProtection="1">
      <alignment vertical="center"/>
    </xf>
    <xf numFmtId="0" fontId="6" fillId="3" borderId="19" xfId="0" applyFont="1" applyFill="1" applyBorder="1" applyAlignment="1" applyProtection="1">
      <alignment horizontal="right" vertical="center"/>
    </xf>
    <xf numFmtId="0" fontId="7" fillId="0" borderId="1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6" fillId="0" borderId="12" xfId="0" applyFont="1" applyBorder="1" applyAlignment="1" applyProtection="1">
      <alignment horizontal="center" vertical="center" wrapText="1"/>
    </xf>
    <xf numFmtId="0" fontId="6" fillId="0" borderId="12" xfId="0" applyFont="1" applyBorder="1" applyAlignment="1">
      <alignment vertical="center" wrapText="1"/>
    </xf>
    <xf numFmtId="0" fontId="7" fillId="0" borderId="12"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15" fillId="0" borderId="12" xfId="0" applyFont="1" applyBorder="1" applyAlignment="1" applyProtection="1">
      <alignment horizontal="center" vertical="center"/>
      <protection locked="0"/>
    </xf>
    <xf numFmtId="0" fontId="5" fillId="11" borderId="14" xfId="0" applyFont="1" applyFill="1" applyBorder="1" applyAlignment="1" applyProtection="1">
      <alignment vertical="center"/>
    </xf>
    <xf numFmtId="0" fontId="6" fillId="11" borderId="28" xfId="0" applyFont="1" applyFill="1" applyBorder="1" applyAlignment="1" applyProtection="1">
      <alignment horizontal="center" vertical="center" wrapText="1"/>
    </xf>
    <xf numFmtId="0" fontId="37" fillId="11" borderId="15" xfId="0" applyFont="1" applyFill="1" applyBorder="1" applyAlignment="1" applyProtection="1">
      <alignment horizontal="left" vertical="center"/>
    </xf>
    <xf numFmtId="0" fontId="6" fillId="11" borderId="27" xfId="0" applyFont="1" applyFill="1" applyBorder="1" applyAlignment="1" applyProtection="1">
      <alignment horizontal="center" vertical="center"/>
    </xf>
    <xf numFmtId="0" fontId="17" fillId="0" borderId="0" xfId="1" quotePrefix="1" applyFont="1" applyBorder="1" applyAlignment="1" applyProtection="1"/>
    <xf numFmtId="0" fontId="6" fillId="11" borderId="28" xfId="0" applyFont="1" applyFill="1" applyBorder="1" applyAlignment="1" applyProtection="1">
      <alignment horizontal="center" vertical="center"/>
    </xf>
    <xf numFmtId="0" fontId="18" fillId="0" borderId="0" xfId="1" quotePrefix="1" applyFont="1" applyBorder="1" applyAlignment="1" applyProtection="1"/>
    <xf numFmtId="0" fontId="17" fillId="0" borderId="0" xfId="1" applyFont="1" applyBorder="1" applyAlignment="1" applyProtection="1"/>
    <xf numFmtId="0" fontId="3" fillId="0" borderId="0" xfId="0" quotePrefix="1" applyFont="1" applyBorder="1" applyAlignment="1"/>
    <xf numFmtId="0" fontId="5" fillId="11" borderId="14" xfId="0" applyFont="1" applyFill="1" applyBorder="1" applyAlignment="1" applyProtection="1">
      <alignment horizontal="left" vertical="center"/>
    </xf>
    <xf numFmtId="0" fontId="0" fillId="0" borderId="28" xfId="0" applyBorder="1" applyAlignment="1"/>
    <xf numFmtId="0" fontId="0" fillId="0" borderId="19" xfId="0" applyBorder="1" applyAlignment="1"/>
    <xf numFmtId="0" fontId="1" fillId="0" borderId="19" xfId="0" applyFont="1" applyBorder="1" applyAlignment="1" applyProtection="1">
      <alignment horizontal="left" vertical="center"/>
      <protection hidden="1"/>
    </xf>
    <xf numFmtId="0" fontId="7" fillId="0" borderId="12" xfId="0" applyFont="1" applyBorder="1" applyAlignment="1" applyProtection="1">
      <alignment horizontal="center" vertical="center"/>
      <protection locked="0"/>
    </xf>
    <xf numFmtId="0" fontId="20" fillId="0" borderId="0" xfId="1" applyFont="1" applyBorder="1" applyAlignment="1" applyProtection="1"/>
    <xf numFmtId="0" fontId="19" fillId="0" borderId="0" xfId="1" applyFont="1" applyBorder="1" applyAlignment="1" applyProtection="1"/>
    <xf numFmtId="0" fontId="20" fillId="0" borderId="0" xfId="1" quotePrefix="1" applyFont="1" applyBorder="1" applyAlignment="1" applyProtection="1"/>
    <xf numFmtId="0" fontId="20" fillId="0" borderId="0" xfId="0" applyFont="1" applyBorder="1"/>
    <xf numFmtId="0" fontId="2" fillId="0" borderId="15"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xf>
    <xf numFmtId="0" fontId="8" fillId="0" borderId="11" xfId="0" quotePrefix="1" applyNumberFormat="1" applyFont="1" applyFill="1" applyBorder="1" applyAlignment="1" applyProtection="1">
      <alignment horizontal="left" vertical="center"/>
    </xf>
    <xf numFmtId="0" fontId="8" fillId="0" borderId="27" xfId="0" quotePrefix="1" applyNumberFormat="1" applyFont="1" applyBorder="1" applyAlignment="1" applyProtection="1">
      <alignment horizontal="center" vertical="center"/>
    </xf>
    <xf numFmtId="0" fontId="1" fillId="0" borderId="27" xfId="0" quotePrefix="1" applyNumberFormat="1" applyFont="1" applyBorder="1" applyAlignment="1" applyProtection="1">
      <alignment horizontal="center" vertical="center"/>
    </xf>
    <xf numFmtId="0" fontId="8" fillId="0" borderId="11" xfId="0" applyNumberFormat="1" applyFont="1" applyFill="1" applyBorder="1" applyAlignment="1" applyProtection="1">
      <alignment vertical="center"/>
    </xf>
    <xf numFmtId="0" fontId="5" fillId="0" borderId="11" xfId="0" applyNumberFormat="1" applyFont="1" applyFill="1" applyBorder="1" applyAlignment="1" applyProtection="1">
      <alignment vertical="center"/>
    </xf>
    <xf numFmtId="0" fontId="5" fillId="3" borderId="7" xfId="0" applyFont="1" applyFill="1" applyBorder="1" applyAlignment="1" applyProtection="1">
      <alignment vertical="top"/>
      <protection locked="0"/>
    </xf>
    <xf numFmtId="0" fontId="1" fillId="12" borderId="20" xfId="0" applyFont="1" applyFill="1" applyBorder="1" applyAlignment="1" applyProtection="1">
      <alignment horizontal="center" vertical="center"/>
      <protection locked="0"/>
    </xf>
    <xf numFmtId="0" fontId="20" fillId="0" borderId="11" xfId="1" applyFont="1" applyBorder="1" applyAlignment="1" applyProtection="1"/>
    <xf numFmtId="0" fontId="7" fillId="0" borderId="11" xfId="0" applyFont="1" applyFill="1" applyBorder="1" applyAlignment="1" applyProtection="1">
      <alignment vertical="center"/>
    </xf>
    <xf numFmtId="0" fontId="17" fillId="0" borderId="0" xfId="1"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11" xfId="0" applyNumberFormat="1" applyFont="1" applyFill="1" applyBorder="1" applyAlignment="1" applyProtection="1">
      <alignment horizontal="left" vertical="center"/>
    </xf>
    <xf numFmtId="0" fontId="5" fillId="7" borderId="29" xfId="0" applyFont="1" applyFill="1" applyBorder="1" applyAlignment="1" applyProtection="1">
      <alignment horizontal="left" vertical="top"/>
    </xf>
    <xf numFmtId="0" fontId="1" fillId="6" borderId="5" xfId="0" applyFont="1" applyFill="1" applyBorder="1" applyAlignment="1" applyProtection="1">
      <alignment horizontal="left" vertical="center"/>
      <protection hidden="1"/>
    </xf>
    <xf numFmtId="0" fontId="7" fillId="0" borderId="30" xfId="0" applyFont="1" applyBorder="1" applyAlignment="1" applyProtection="1">
      <alignment horizontal="left" vertical="center"/>
    </xf>
    <xf numFmtId="0" fontId="1" fillId="0" borderId="11" xfId="0" applyFont="1" applyBorder="1" applyAlignment="1" applyProtection="1">
      <alignment horizontal="left" vertical="center"/>
    </xf>
    <xf numFmtId="0" fontId="9" fillId="0" borderId="11"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5" fillId="3" borderId="10" xfId="0" applyFont="1" applyFill="1" applyBorder="1" applyAlignment="1" applyProtection="1">
      <alignment vertical="center"/>
    </xf>
    <xf numFmtId="0" fontId="37" fillId="3" borderId="10" xfId="0" applyFont="1" applyFill="1" applyBorder="1" applyAlignment="1" applyProtection="1">
      <alignment horizontal="right" vertical="center"/>
    </xf>
    <xf numFmtId="0" fontId="5" fillId="3" borderId="28" xfId="0" applyFont="1" applyFill="1" applyBorder="1" applyAlignment="1" applyProtection="1">
      <alignment horizontal="center" vertical="center"/>
    </xf>
    <xf numFmtId="0" fontId="7" fillId="6" borderId="10" xfId="0" applyFont="1" applyFill="1" applyBorder="1" applyAlignment="1" applyProtection="1">
      <alignment horizontal="left" vertical="center"/>
    </xf>
    <xf numFmtId="0" fontId="3" fillId="6" borderId="10" xfId="0" applyFont="1" applyFill="1" applyBorder="1" applyAlignment="1" applyProtection="1">
      <alignment vertical="center"/>
    </xf>
    <xf numFmtId="0" fontId="1" fillId="6" borderId="10" xfId="0" applyFont="1" applyFill="1" applyBorder="1" applyAlignment="1" applyProtection="1">
      <alignment vertical="center"/>
    </xf>
    <xf numFmtId="0" fontId="5" fillId="7" borderId="31" xfId="0" applyFont="1" applyFill="1" applyBorder="1" applyAlignment="1" applyProtection="1">
      <alignment horizontal="left" vertical="top"/>
    </xf>
    <xf numFmtId="0" fontId="7" fillId="13" borderId="13" xfId="0" applyNumberFormat="1" applyFont="1" applyFill="1" applyBorder="1" applyAlignment="1" applyProtection="1">
      <alignment horizontal="center" vertical="center"/>
    </xf>
    <xf numFmtId="0" fontId="7" fillId="14" borderId="13" xfId="0" applyNumberFormat="1" applyFont="1" applyFill="1" applyBorder="1" applyAlignment="1" applyProtection="1">
      <alignment horizontal="center" vertical="center"/>
    </xf>
    <xf numFmtId="0" fontId="7" fillId="15" borderId="13" xfId="0" applyNumberFormat="1" applyFont="1" applyFill="1" applyBorder="1" applyAlignment="1" applyProtection="1">
      <alignment horizontal="center" vertical="center"/>
    </xf>
    <xf numFmtId="0" fontId="5" fillId="11" borderId="13"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wrapText="1"/>
    </xf>
    <xf numFmtId="0" fontId="9" fillId="0" borderId="27" xfId="0" applyFont="1" applyFill="1" applyBorder="1" applyAlignment="1" applyProtection="1">
      <alignment horizontal="left" vertical="center"/>
    </xf>
    <xf numFmtId="0" fontId="9" fillId="0" borderId="15" xfId="0" applyFont="1" applyFill="1" applyBorder="1" applyAlignment="1" applyProtection="1">
      <alignment vertical="center"/>
    </xf>
    <xf numFmtId="0" fontId="5" fillId="3" borderId="14" xfId="0" applyFont="1" applyFill="1" applyBorder="1" applyAlignment="1" applyProtection="1">
      <alignment horizontal="left" vertical="center"/>
    </xf>
    <xf numFmtId="0" fontId="7" fillId="13" borderId="13" xfId="0" applyFont="1" applyFill="1" applyBorder="1" applyAlignment="1" applyProtection="1">
      <alignment horizontal="center" vertical="center"/>
    </xf>
    <xf numFmtId="0" fontId="7" fillId="6" borderId="28" xfId="0" applyFont="1" applyFill="1" applyBorder="1" applyAlignment="1" applyProtection="1">
      <alignment horizontal="center" vertical="center"/>
    </xf>
    <xf numFmtId="0" fontId="7" fillId="14" borderId="13" xfId="0" applyFont="1" applyFill="1" applyBorder="1" applyAlignment="1" applyProtection="1">
      <alignment horizontal="center" vertical="center"/>
    </xf>
    <xf numFmtId="0" fontId="7" fillId="15" borderId="13" xfId="0" applyFont="1" applyFill="1" applyBorder="1" applyAlignment="1" applyProtection="1">
      <alignment horizontal="center" vertical="center"/>
    </xf>
    <xf numFmtId="9" fontId="7" fillId="0" borderId="32" xfId="0" applyNumberFormat="1" applyFont="1" applyBorder="1" applyAlignment="1" applyProtection="1">
      <alignment horizontal="center" vertical="center"/>
    </xf>
    <xf numFmtId="0" fontId="1" fillId="6" borderId="16" xfId="0" applyFont="1" applyFill="1" applyBorder="1" applyAlignment="1" applyProtection="1">
      <alignment vertical="center"/>
    </xf>
    <xf numFmtId="180" fontId="1" fillId="10" borderId="1" xfId="0" applyNumberFormat="1" applyFont="1" applyFill="1" applyBorder="1" applyAlignment="1" applyProtection="1">
      <alignment horizontal="center" vertical="center"/>
      <protection locked="0"/>
    </xf>
    <xf numFmtId="0" fontId="44" fillId="0" borderId="12" xfId="1" applyNumberFormat="1" applyFont="1" applyFill="1" applyBorder="1" applyAlignment="1" applyProtection="1">
      <alignment horizontal="right" vertical="top" wrapText="1"/>
    </xf>
    <xf numFmtId="0" fontId="3" fillId="16"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43" fillId="0" borderId="33" xfId="1" applyNumberFormat="1" applyFont="1" applyFill="1" applyBorder="1" applyAlignment="1" applyProtection="1">
      <alignment horizontal="right" vertical="top" wrapText="1"/>
    </xf>
    <xf numFmtId="0" fontId="43" fillId="0" borderId="15" xfId="1" applyNumberFormat="1" applyFont="1" applyFill="1" applyBorder="1" applyAlignment="1" applyProtection="1">
      <alignment horizontal="right" vertical="top" wrapText="1"/>
    </xf>
    <xf numFmtId="0" fontId="36" fillId="0" borderId="15" xfId="1" applyNumberFormat="1" applyFont="1" applyFill="1" applyBorder="1" applyAlignment="1" applyProtection="1">
      <alignment horizontal="right" vertical="top" wrapText="1"/>
    </xf>
    <xf numFmtId="0" fontId="20" fillId="0" borderId="12" xfId="1" applyNumberFormat="1" applyFont="1" applyFill="1" applyBorder="1" applyAlignment="1" applyProtection="1">
      <alignment vertical="top" wrapText="1"/>
    </xf>
    <xf numFmtId="0" fontId="43" fillId="0" borderId="12" xfId="1" applyNumberFormat="1" applyFont="1" applyFill="1" applyBorder="1" applyAlignment="1" applyProtection="1">
      <alignment horizontal="right" vertical="top" wrapText="1"/>
    </xf>
    <xf numFmtId="0" fontId="45" fillId="0" borderId="24" xfId="1" applyFont="1" applyBorder="1" applyAlignment="1" applyProtection="1">
      <alignment vertical="top" wrapText="1"/>
    </xf>
    <xf numFmtId="0" fontId="17" fillId="0" borderId="0" xfId="1" quotePrefix="1" applyFont="1" applyBorder="1" applyAlignment="1" applyProtection="1"/>
    <xf numFmtId="0" fontId="3" fillId="0" borderId="0" xfId="0" quotePrefix="1" applyFont="1" applyBorder="1"/>
    <xf numFmtId="0" fontId="18" fillId="0" borderId="0" xfId="1" quotePrefix="1" applyFont="1" applyBorder="1" applyAlignment="1" applyProtection="1"/>
    <xf numFmtId="0" fontId="12" fillId="0" borderId="0" xfId="0" quotePrefix="1" applyFont="1" applyBorder="1"/>
    <xf numFmtId="0" fontId="17" fillId="0" borderId="0" xfId="1" quotePrefix="1" applyNumberFormat="1" applyFont="1" applyFill="1" applyBorder="1" applyAlignment="1" applyProtection="1">
      <alignment horizontal="left" vertical="center"/>
    </xf>
    <xf numFmtId="0" fontId="3" fillId="0" borderId="0" xfId="0" quotePrefix="1" applyNumberFormat="1" applyFont="1" applyFill="1" applyBorder="1" applyAlignment="1" applyProtection="1">
      <alignment horizontal="left" vertical="center"/>
    </xf>
    <xf numFmtId="0" fontId="7" fillId="0" borderId="0" xfId="0" quotePrefix="1" applyNumberFormat="1" applyFont="1" applyFill="1" applyBorder="1" applyAlignment="1" applyProtection="1">
      <alignment horizontal="left" vertical="center"/>
    </xf>
    <xf numFmtId="0" fontId="1" fillId="0" borderId="0" xfId="0" quotePrefix="1"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7" fillId="0" borderId="0" xfId="1" applyFont="1" applyBorder="1" applyAlignment="1" applyProtection="1"/>
    <xf numFmtId="0" fontId="17" fillId="0" borderId="0" xfId="1" applyNumberFormat="1" applyFont="1" applyFill="1" applyBorder="1" applyAlignment="1" applyProtection="1">
      <alignment horizontal="left" vertical="center"/>
    </xf>
    <xf numFmtId="0" fontId="18" fillId="0" borderId="0" xfId="1" applyFont="1" applyBorder="1" applyAlignment="1" applyProtection="1"/>
    <xf numFmtId="0" fontId="5" fillId="3" borderId="7"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3" fillId="0" borderId="0" xfId="0" applyFont="1" applyBorder="1"/>
    <xf numFmtId="0" fontId="17" fillId="0" borderId="11" xfId="1" applyFont="1" applyBorder="1" applyAlignment="1" applyProtection="1"/>
    <xf numFmtId="0" fontId="3" fillId="0" borderId="11" xfId="0" quotePrefix="1" applyFont="1" applyBorder="1"/>
    <xf numFmtId="0" fontId="20" fillId="0" borderId="0" xfId="1" applyFont="1" applyBorder="1" applyAlignment="1" applyProtection="1">
      <alignment vertical="top" wrapText="1"/>
    </xf>
    <xf numFmtId="0" fontId="20" fillId="0" borderId="0" xfId="0" applyFont="1" applyBorder="1" applyAlignment="1">
      <alignment vertical="top" wrapText="1"/>
    </xf>
    <xf numFmtId="0" fontId="7" fillId="0" borderId="0" xfId="0" applyFont="1" applyBorder="1" applyAlignment="1">
      <alignment vertical="top" wrapText="1"/>
    </xf>
    <xf numFmtId="0" fontId="0" fillId="0" borderId="0" xfId="0" applyBorder="1" applyAlignment="1">
      <alignment vertical="top" wrapText="1"/>
    </xf>
    <xf numFmtId="0" fontId="19" fillId="0" borderId="0" xfId="1" applyFont="1" applyBorder="1" applyAlignment="1" applyProtection="1">
      <alignment vertical="top" wrapText="1"/>
    </xf>
    <xf numFmtId="0" fontId="0" fillId="0" borderId="0" xfId="0" applyAlignment="1">
      <alignment vertical="top" wrapText="1"/>
    </xf>
  </cellXfs>
  <cellStyles count="3">
    <cellStyle name="Hyperlink" xfId="1" builtinId="8"/>
    <cellStyle name="Normal" xfId="0" builtinId="0"/>
    <cellStyle name="Normal 2" xfId="2"/>
  </cellStyles>
  <dxfs count="13">
    <dxf>
      <font>
        <b/>
        <i val="0"/>
        <condense val="0"/>
        <extend val="0"/>
        <color indexed="53"/>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58"/>
      </font>
      <fill>
        <patternFill>
          <bgColor indexed="41"/>
        </patternFill>
      </fill>
      <border>
        <left style="thin">
          <color indexed="64"/>
        </left>
        <right style="thin">
          <color indexed="64"/>
        </right>
        <top style="thin">
          <color indexed="64"/>
        </top>
        <bottom style="thin">
          <color indexed="64"/>
        </bottom>
      </border>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font>
      <fill>
        <patternFill>
          <bgColor indexed="13"/>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7"/>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frwebgate.access.gpo.gov/cgi-bin/getdoc.cgi?dbname=109_cong_bills&amp;docid=f:h6enr.txt.pdf" TargetMode="External"/><Relationship Id="rId18" Type="http://schemas.openxmlformats.org/officeDocument/2006/relationships/hyperlink" Target="http://www.usda.gov/biopreferred" TargetMode="External"/><Relationship Id="rId26" Type="http://schemas.openxmlformats.org/officeDocument/2006/relationships/hyperlink" Target="http://www.wbdg.org/pdfs/hpsb_guidance.pdf" TargetMode="External"/><Relationship Id="rId39" Type="http://schemas.openxmlformats.org/officeDocument/2006/relationships/hyperlink" Target="http://thomas.loc.gov/cgi-bin/query/z?c102:H.R.776.ENR:" TargetMode="External"/><Relationship Id="rId21" Type="http://schemas.openxmlformats.org/officeDocument/2006/relationships/hyperlink" Target="http://www.wbdg.org/pdfs/hpsb_guidance.pdf" TargetMode="External"/><Relationship Id="rId34" Type="http://schemas.openxmlformats.org/officeDocument/2006/relationships/hyperlink" Target="http://frwebgate.access.gpo.gov/cgi-bin/getdoc.cgi?dbname=110_cong_bills&amp;docid=f:h6enr.txt.pdf" TargetMode="External"/><Relationship Id="rId42" Type="http://schemas.openxmlformats.org/officeDocument/2006/relationships/hyperlink" Target="http://www.usgbc.org/ShowFile.aspx?DocumentID=5546" TargetMode="External"/><Relationship Id="rId47" Type="http://schemas.openxmlformats.org/officeDocument/2006/relationships/hyperlink" Target="http://www.usgbc.org/ShowFile.aspx?DocumentID=5546" TargetMode="External"/><Relationship Id="rId50" Type="http://schemas.openxmlformats.org/officeDocument/2006/relationships/hyperlink" Target="http://www.usgbc.org/ShowFile.aspx?DocumentID=5546" TargetMode="External"/><Relationship Id="rId55" Type="http://schemas.openxmlformats.org/officeDocument/2006/relationships/hyperlink" Target="http://www.usgbc.org/ShowFile.aspx?DocumentID=5546" TargetMode="External"/><Relationship Id="rId63" Type="http://schemas.openxmlformats.org/officeDocument/2006/relationships/hyperlink" Target="http://www.usgbc.org/ShowFile.aspx?DocumentID=5546" TargetMode="External"/><Relationship Id="rId7" Type="http://schemas.openxmlformats.org/officeDocument/2006/relationships/hyperlink" Target="http://www.wbdg.org/pdfs/hpsb_guidance.pdf" TargetMode="External"/><Relationship Id="rId2" Type="http://schemas.openxmlformats.org/officeDocument/2006/relationships/hyperlink" Target="http://www.wbdg.org/ccb/AF/AFETL/etl_03_1.pdf" TargetMode="External"/><Relationship Id="rId16" Type="http://schemas.openxmlformats.org/officeDocument/2006/relationships/hyperlink" Target="http://www.wbdg.org/pdfs/hpsb_guidance.pdf" TargetMode="External"/><Relationship Id="rId20" Type="http://schemas.openxmlformats.org/officeDocument/2006/relationships/hyperlink" Target="http://www.wbdg.org/pdfs/hpsb_guidance.pdf" TargetMode="External"/><Relationship Id="rId29" Type="http://schemas.openxmlformats.org/officeDocument/2006/relationships/hyperlink" Target="http://frwebgate.access.gpo.gov/cgi-bin/getdoc.cgi?dbname=109_cong_bills&amp;docid=f:h6enr.txt.pdf" TargetMode="External"/><Relationship Id="rId41" Type="http://schemas.openxmlformats.org/officeDocument/2006/relationships/hyperlink" Target="http://www.afcesa.af.mil/shared/media/document/AFD-070614-053.pdf" TargetMode="External"/><Relationship Id="rId54" Type="http://schemas.openxmlformats.org/officeDocument/2006/relationships/hyperlink" Target="http://www.usgbc.org/ShowFile.aspx?DocumentID=5546" TargetMode="External"/><Relationship Id="rId62" Type="http://schemas.openxmlformats.org/officeDocument/2006/relationships/hyperlink" Target="http://epw.senate.gov/rcra.pdf" TargetMode="External"/><Relationship Id="rId1" Type="http://schemas.openxmlformats.org/officeDocument/2006/relationships/hyperlink" Target="http://www.fedcenter.gov/_kd/Items/actions.cfm?action=Show&amp;item_id=11130&amp;destination=ShowItem" TargetMode="External"/><Relationship Id="rId6" Type="http://schemas.openxmlformats.org/officeDocument/2006/relationships/hyperlink" Target="http://www.wbdg.org/pdfs/hpsb_guidance.pdf" TargetMode="External"/><Relationship Id="rId11" Type="http://schemas.openxmlformats.org/officeDocument/2006/relationships/hyperlink" Target="http://www.wbdg.org/pdfs/hpsb_guidance.pdf" TargetMode="External"/><Relationship Id="rId24" Type="http://schemas.openxmlformats.org/officeDocument/2006/relationships/hyperlink" Target="http://www.wbdg.org/pdfs/hpsb_guidance.pdf" TargetMode="External"/><Relationship Id="rId32" Type="http://schemas.openxmlformats.org/officeDocument/2006/relationships/hyperlink" Target="http://www.wbdg.org/design/greenspec.php" TargetMode="External"/><Relationship Id="rId37" Type="http://schemas.openxmlformats.org/officeDocument/2006/relationships/hyperlink" Target="http://www.wbdg.org/pdfs/hpsb_guidance.pdf" TargetMode="External"/><Relationship Id="rId40" Type="http://schemas.openxmlformats.org/officeDocument/2006/relationships/hyperlink" Target="http://www.wbdg.org/pdfs/hpsb_guidance.pdf" TargetMode="External"/><Relationship Id="rId45" Type="http://schemas.openxmlformats.org/officeDocument/2006/relationships/hyperlink" Target="http://www.usgbc.org/ShowFile.aspx?DocumentID=5546" TargetMode="External"/><Relationship Id="rId53" Type="http://schemas.openxmlformats.org/officeDocument/2006/relationships/hyperlink" Target="http://www.usgbc.org/ShowFile.aspx?DocumentID=5546" TargetMode="External"/><Relationship Id="rId58" Type="http://schemas.openxmlformats.org/officeDocument/2006/relationships/hyperlink" Target="http://www.usgbc.org/ShowFile.aspx?DocumentID=5546" TargetMode="External"/><Relationship Id="rId66" Type="http://schemas.openxmlformats.org/officeDocument/2006/relationships/printerSettings" Target="../printerSettings/printerSettings2.bin"/><Relationship Id="rId5" Type="http://schemas.openxmlformats.org/officeDocument/2006/relationships/hyperlink" Target="http://www.wbdg.org/pdfs/hpsb_guidance.pdf" TargetMode="External"/><Relationship Id="rId15" Type="http://schemas.openxmlformats.org/officeDocument/2006/relationships/hyperlink" Target="http://www1.eere.energy.gov/femp/regulations/eo13423.html" TargetMode="External"/><Relationship Id="rId23" Type="http://schemas.openxmlformats.org/officeDocument/2006/relationships/hyperlink" Target="http://www.wbdg.org/pdfs/hpsb_guidance.pdf" TargetMode="External"/><Relationship Id="rId28" Type="http://schemas.openxmlformats.org/officeDocument/2006/relationships/hyperlink" Target="http://www.wbdg.org/pdfs/hpsb_guidance.pdf" TargetMode="External"/><Relationship Id="rId36" Type="http://schemas.openxmlformats.org/officeDocument/2006/relationships/hyperlink" Target="http://www.wbdg.org/pdfs/hpsb_guidance.pdf" TargetMode="External"/><Relationship Id="rId49" Type="http://schemas.openxmlformats.org/officeDocument/2006/relationships/hyperlink" Target="http://www.usgbc.org/ShowFile.aspx?DocumentID=5546" TargetMode="External"/><Relationship Id="rId57" Type="http://schemas.openxmlformats.org/officeDocument/2006/relationships/hyperlink" Target="http://www.usgbc.org/ShowFile.aspx?DocumentID=5546" TargetMode="External"/><Relationship Id="rId61" Type="http://schemas.openxmlformats.org/officeDocument/2006/relationships/hyperlink" Target="http://www.usgbc.org/ShowFile.aspx?DocumentID=5546" TargetMode="External"/><Relationship Id="rId10" Type="http://schemas.openxmlformats.org/officeDocument/2006/relationships/hyperlink" Target="http://frwebgate.access.gpo.gov/cgi-bin/getdoc.cgi?dbname=110_cong_bills&amp;docid=f:h6enr.txt.pdf" TargetMode="External"/><Relationship Id="rId19" Type="http://schemas.openxmlformats.org/officeDocument/2006/relationships/hyperlink" Target="http://www.wbdg.org/pdfs/hpsb_guidance.pdf" TargetMode="External"/><Relationship Id="rId31" Type="http://schemas.openxmlformats.org/officeDocument/2006/relationships/hyperlink" Target="http://www.wbdg.org/pdfs/hpsb_guidance.pdf" TargetMode="External"/><Relationship Id="rId44" Type="http://schemas.openxmlformats.org/officeDocument/2006/relationships/hyperlink" Target="http://www.usgbc.org/ShowFile.aspx?DocumentID=5546" TargetMode="External"/><Relationship Id="rId52" Type="http://schemas.openxmlformats.org/officeDocument/2006/relationships/hyperlink" Target="http://www.usgbc.org/ShowFile.aspx?DocumentID=5546" TargetMode="External"/><Relationship Id="rId60" Type="http://schemas.openxmlformats.org/officeDocument/2006/relationships/hyperlink" Target="http://www.usgbc.org/ShowFile.aspx?DocumentID=5546" TargetMode="External"/><Relationship Id="rId65" Type="http://schemas.openxmlformats.org/officeDocument/2006/relationships/hyperlink" Target="http://frwebgate.access.gpo.gov/cgi-bin/getdoc.cgi?dbname=107_cong_public_laws&amp;docid=f:publ171.107.pdf" TargetMode="External"/><Relationship Id="rId4" Type="http://schemas.openxmlformats.org/officeDocument/2006/relationships/hyperlink" Target="http://www.wbdg.org/pdfs/hpsb_guidance.pdf" TargetMode="External"/><Relationship Id="rId9" Type="http://schemas.openxmlformats.org/officeDocument/2006/relationships/hyperlink" Target="http://www.wbdg.org/pdfs/hpsb_guidance.pdf" TargetMode="External"/><Relationship Id="rId14" Type="http://schemas.openxmlformats.org/officeDocument/2006/relationships/hyperlink" Target="http://www.wbdg.org/pdfs/hpsb_guidance.pdf" TargetMode="External"/><Relationship Id="rId22" Type="http://schemas.openxmlformats.org/officeDocument/2006/relationships/hyperlink" Target="http://edocket.access.gpo.gov/2008/E8-30377.htm" TargetMode="External"/><Relationship Id="rId27" Type="http://schemas.openxmlformats.org/officeDocument/2006/relationships/hyperlink" Target="http://www.wbdg.org/pdfs/hpsb_guidance.pdf" TargetMode="External"/><Relationship Id="rId30" Type="http://schemas.openxmlformats.org/officeDocument/2006/relationships/hyperlink" Target="http://www.wbdg.org/pdfs/hpsb_guidance.pdf" TargetMode="External"/><Relationship Id="rId35" Type="http://schemas.openxmlformats.org/officeDocument/2006/relationships/hyperlink" Target="http://www.p2sustainabilitylibrary.mil/p2_documents/dusd_ie.pdf" TargetMode="External"/><Relationship Id="rId43" Type="http://schemas.openxmlformats.org/officeDocument/2006/relationships/hyperlink" Target="http://www.usgbc.org/ShowFile.aspx?DocumentID=5546" TargetMode="External"/><Relationship Id="rId48" Type="http://schemas.openxmlformats.org/officeDocument/2006/relationships/hyperlink" Target="http://www.usgbc.org/ShowFile.aspx?DocumentID=5546" TargetMode="External"/><Relationship Id="rId56" Type="http://schemas.openxmlformats.org/officeDocument/2006/relationships/hyperlink" Target="http://www.usgbc.org/ShowFile.aspx?DocumentID=5546" TargetMode="External"/><Relationship Id="rId64" Type="http://schemas.openxmlformats.org/officeDocument/2006/relationships/hyperlink" Target="http://www.usgbc.org/ShowFile.aspx?DocumentID=5546" TargetMode="External"/><Relationship Id="rId8" Type="http://schemas.openxmlformats.org/officeDocument/2006/relationships/hyperlink" Target="http://www.wbdg.org/pdfs/hpsb_guidance.pdf" TargetMode="External"/><Relationship Id="rId51" Type="http://schemas.openxmlformats.org/officeDocument/2006/relationships/hyperlink" Target="http://www.usgbc.org/ShowFile.aspx?DocumentID=5546" TargetMode="External"/><Relationship Id="rId3" Type="http://schemas.openxmlformats.org/officeDocument/2006/relationships/hyperlink" Target="http://www.wbdg.org/pdfs/hpsb_guidance.pdf" TargetMode="External"/><Relationship Id="rId12" Type="http://schemas.openxmlformats.org/officeDocument/2006/relationships/hyperlink" Target="http://www.wbdg.org/pdfs/hpsb_guidance.pdf" TargetMode="External"/><Relationship Id="rId17" Type="http://schemas.openxmlformats.org/officeDocument/2006/relationships/hyperlink" Target="http://www.epa.gov/cpg" TargetMode="External"/><Relationship Id="rId25" Type="http://schemas.openxmlformats.org/officeDocument/2006/relationships/hyperlink" Target="http://femp.buildinggreen.com/" TargetMode="External"/><Relationship Id="rId33" Type="http://schemas.openxmlformats.org/officeDocument/2006/relationships/hyperlink" Target="http://frwebgate.access.gpo.gov/cgi-bin/getdoc.cgi?dbname=110_cong_bills&amp;docid=f:h6enr.txt.pdf" TargetMode="External"/><Relationship Id="rId38" Type="http://schemas.openxmlformats.org/officeDocument/2006/relationships/hyperlink" Target="http://ecfr.gpoaccess.gov/cgi/t/text/text-idx?c=ecfr&amp;sid=6e7ccb4d953d0901e8d59aead0174660&amp;rgn=div8&amp;view=text&amp;node=10:3.0.1.4.18.0.85.5&amp;idno=10" TargetMode="External"/><Relationship Id="rId46" Type="http://schemas.openxmlformats.org/officeDocument/2006/relationships/hyperlink" Target="http://www.usgbc.org/ShowFile.aspx?DocumentID=5546" TargetMode="External"/><Relationship Id="rId59" Type="http://schemas.openxmlformats.org/officeDocument/2006/relationships/hyperlink" Target="http://www.usgbc.org/ShowFile.aspx?DocumentID=5546" TargetMode="External"/></Relationships>
</file>

<file path=xl/worksheets/sheet1.xml><?xml version="1.0" encoding="utf-8"?>
<worksheet xmlns="http://schemas.openxmlformats.org/spreadsheetml/2006/main" xmlns:r="http://schemas.openxmlformats.org/officeDocument/2006/relationships">
  <dimension ref="A1:K225"/>
  <sheetViews>
    <sheetView tabSelected="1" zoomScale="85" zoomScaleNormal="85" workbookViewId="0">
      <selection activeCell="B19" sqref="B19"/>
    </sheetView>
  </sheetViews>
  <sheetFormatPr defaultRowHeight="12.75"/>
  <cols>
    <col min="1" max="1" width="16.5703125" style="8" customWidth="1"/>
    <col min="2" max="2" width="10.140625" style="8" customWidth="1"/>
    <col min="3" max="3" width="1.5703125" style="8" customWidth="1"/>
    <col min="4" max="4" width="25.7109375" style="1" customWidth="1"/>
    <col min="5" max="5" width="56.28515625" style="1" customWidth="1"/>
    <col min="6" max="6" width="8.5703125" style="3" customWidth="1"/>
    <col min="7" max="7" width="25.28515625" style="49" hidden="1" customWidth="1"/>
    <col min="8" max="8" width="83.7109375" style="29" hidden="1" customWidth="1"/>
    <col min="9" max="9" width="7.42578125" style="29" hidden="1" customWidth="1"/>
    <col min="10" max="10" width="12.140625" style="29" hidden="1" customWidth="1"/>
    <col min="11" max="11" width="10.7109375" style="29" hidden="1" customWidth="1"/>
    <col min="12" max="12" width="4.140625" style="2" customWidth="1"/>
    <col min="13" max="13" width="4.5703125" style="2" customWidth="1"/>
    <col min="14" max="16384" width="9.140625" style="2"/>
  </cols>
  <sheetData>
    <row r="1" spans="1:11" ht="20.25">
      <c r="A1" s="220"/>
      <c r="B1" s="221" t="s">
        <v>309</v>
      </c>
      <c r="C1" s="222"/>
      <c r="D1" s="224"/>
      <c r="E1" s="224"/>
      <c r="F1" s="225"/>
    </row>
    <row r="2" spans="1:11" ht="15.75">
      <c r="A2" s="226"/>
      <c r="B2" s="133" t="s">
        <v>310</v>
      </c>
      <c r="C2" s="134"/>
      <c r="D2" s="135"/>
      <c r="E2" s="135"/>
      <c r="F2" s="227"/>
    </row>
    <row r="3" spans="1:11" s="4" customFormat="1">
      <c r="A3" s="228" t="s">
        <v>311</v>
      </c>
      <c r="B3" s="131"/>
      <c r="C3" s="131"/>
      <c r="D3" s="131"/>
      <c r="E3" s="132"/>
      <c r="F3" s="229"/>
      <c r="G3" s="28"/>
      <c r="H3" s="29"/>
      <c r="I3" s="29"/>
      <c r="J3" s="29"/>
      <c r="K3" s="29"/>
    </row>
    <row r="4" spans="1:11" s="4" customFormat="1">
      <c r="A4" s="182"/>
      <c r="B4" s="21"/>
      <c r="C4" s="21"/>
      <c r="D4" s="30" t="s">
        <v>548</v>
      </c>
      <c r="E4" s="11" t="s">
        <v>448</v>
      </c>
      <c r="F4" s="179"/>
      <c r="G4" s="28"/>
      <c r="H4" s="29"/>
      <c r="I4" s="29"/>
      <c r="J4" s="29"/>
      <c r="K4" s="29" t="s">
        <v>270</v>
      </c>
    </row>
    <row r="5" spans="1:11" s="4" customFormat="1">
      <c r="A5" s="182"/>
      <c r="B5" s="21"/>
      <c r="C5" s="21"/>
      <c r="D5" s="30" t="s">
        <v>549</v>
      </c>
      <c r="E5" s="11" t="s">
        <v>441</v>
      </c>
      <c r="F5" s="179"/>
      <c r="G5" s="28"/>
      <c r="H5" s="29"/>
      <c r="I5" s="29"/>
      <c r="J5" s="29"/>
      <c r="K5" s="29" t="s">
        <v>270</v>
      </c>
    </row>
    <row r="6" spans="1:11" s="4" customFormat="1" ht="25.5">
      <c r="A6" s="182"/>
      <c r="B6" s="21"/>
      <c r="C6" s="21"/>
      <c r="D6" s="31" t="s">
        <v>550</v>
      </c>
      <c r="E6" s="11" t="s">
        <v>312</v>
      </c>
      <c r="F6" s="179"/>
      <c r="G6" s="28"/>
      <c r="H6" s="29"/>
      <c r="I6" s="29"/>
      <c r="J6" s="29"/>
      <c r="K6" s="29" t="s">
        <v>270</v>
      </c>
    </row>
    <row r="7" spans="1:11" s="4" customFormat="1">
      <c r="A7" s="182"/>
      <c r="B7" s="21"/>
      <c r="C7" s="21"/>
      <c r="D7" s="31" t="s">
        <v>188</v>
      </c>
      <c r="E7" s="11" t="s">
        <v>264</v>
      </c>
      <c r="F7" s="179"/>
      <c r="G7" s="28"/>
      <c r="H7" s="29"/>
      <c r="I7" s="29"/>
      <c r="J7" s="29"/>
      <c r="K7" s="29" t="s">
        <v>270</v>
      </c>
    </row>
    <row r="8" spans="1:11" s="4" customFormat="1">
      <c r="A8" s="182"/>
      <c r="B8" s="21"/>
      <c r="C8" s="21"/>
      <c r="D8" s="37" t="str">
        <f>IF(ISERROR(VLOOKUP(D7,LocationList!B4:E90,2,FALSE))," ",VLOOKUP(D7,LocationList!B4:E90,2,FALSE))</f>
        <v>Rapid City</v>
      </c>
      <c r="E8" s="11" t="s">
        <v>225</v>
      </c>
      <c r="F8" s="179"/>
      <c r="G8" s="28"/>
      <c r="H8" s="29"/>
      <c r="I8" s="29"/>
      <c r="J8" s="29"/>
      <c r="K8" s="29" t="s">
        <v>270</v>
      </c>
    </row>
    <row r="9" spans="1:11" s="4" customFormat="1">
      <c r="A9" s="182"/>
      <c r="B9" s="21"/>
      <c r="C9" s="21"/>
      <c r="D9" s="37" t="str">
        <f>IF(ISERROR(VLOOKUP(D7,LocationList!B4:E90,3,FALSE))," ",VLOOKUP(D7,LocationList!B4:E90,3,FALSE))</f>
        <v>SD</v>
      </c>
      <c r="E9" s="11" t="s">
        <v>226</v>
      </c>
      <c r="F9" s="179"/>
      <c r="G9" s="28"/>
      <c r="H9" s="29"/>
      <c r="I9" s="29"/>
      <c r="J9" s="29"/>
      <c r="K9" s="29" t="s">
        <v>270</v>
      </c>
    </row>
    <row r="10" spans="1:11" s="90" customFormat="1" hidden="1">
      <c r="A10" s="230"/>
      <c r="B10" s="87"/>
      <c r="C10" s="87"/>
      <c r="D10" s="88" t="str">
        <f>IF(ISERROR(VLOOKUP(D7,LocationList!B4:E90,4,FALSE))," ",VLOOKUP(D7,LocationList!B4:E90,4,FALSE))</f>
        <v>Yes</v>
      </c>
      <c r="E10" s="89" t="s">
        <v>6</v>
      </c>
      <c r="F10" s="231"/>
      <c r="G10" s="28"/>
      <c r="H10" s="29"/>
      <c r="I10" s="29"/>
      <c r="J10" s="29"/>
      <c r="K10" s="29" t="s">
        <v>270</v>
      </c>
    </row>
    <row r="11" spans="1:11" s="4" customFormat="1">
      <c r="A11" s="182"/>
      <c r="B11" s="21"/>
      <c r="C11" s="21"/>
      <c r="D11" s="31" t="s">
        <v>551</v>
      </c>
      <c r="E11" s="11" t="s">
        <v>440</v>
      </c>
      <c r="F11" s="179"/>
      <c r="G11" s="28"/>
      <c r="H11" s="29"/>
      <c r="I11" s="29"/>
      <c r="J11" s="29"/>
      <c r="K11" s="29" t="s">
        <v>270</v>
      </c>
    </row>
    <row r="12" spans="1:11" s="4" customFormat="1">
      <c r="A12" s="182"/>
      <c r="B12" s="21"/>
      <c r="C12" s="21"/>
      <c r="D12" s="126">
        <v>750000</v>
      </c>
      <c r="E12" s="25" t="s">
        <v>313</v>
      </c>
      <c r="F12" s="179"/>
      <c r="G12" s="28"/>
      <c r="H12" s="29"/>
      <c r="I12" s="29"/>
      <c r="J12" s="29"/>
      <c r="K12" s="29" t="s">
        <v>270</v>
      </c>
    </row>
    <row r="13" spans="1:11" s="4" customFormat="1">
      <c r="A13" s="182"/>
      <c r="B13" s="21"/>
      <c r="C13" s="21"/>
      <c r="D13" s="120">
        <v>150625</v>
      </c>
      <c r="E13" s="25" t="s">
        <v>314</v>
      </c>
      <c r="F13" s="179"/>
      <c r="G13" s="28"/>
      <c r="H13" s="29"/>
      <c r="I13" s="29"/>
      <c r="J13" s="29"/>
      <c r="K13" s="29" t="s">
        <v>270</v>
      </c>
    </row>
    <row r="14" spans="1:11" s="4" customFormat="1">
      <c r="A14" s="182"/>
      <c r="B14" s="21"/>
      <c r="C14" s="21"/>
      <c r="D14" s="121">
        <v>2010</v>
      </c>
      <c r="E14" s="26" t="s">
        <v>459</v>
      </c>
      <c r="F14" s="179"/>
      <c r="G14" s="28"/>
      <c r="H14" s="29"/>
      <c r="I14" s="29"/>
      <c r="J14" s="29"/>
      <c r="K14" s="29" t="s">
        <v>270</v>
      </c>
    </row>
    <row r="15" spans="1:11" s="4" customFormat="1">
      <c r="A15" s="182"/>
      <c r="B15" s="21"/>
      <c r="C15" s="21"/>
      <c r="D15" s="31" t="s">
        <v>552</v>
      </c>
      <c r="E15" s="26" t="s">
        <v>306</v>
      </c>
      <c r="F15" s="179"/>
      <c r="G15" s="28"/>
      <c r="H15" s="29"/>
      <c r="I15" s="29"/>
      <c r="J15" s="29"/>
      <c r="K15" s="29" t="s">
        <v>270</v>
      </c>
    </row>
    <row r="16" spans="1:11" s="4" customFormat="1">
      <c r="A16" s="182"/>
      <c r="B16" s="21"/>
      <c r="C16" s="21"/>
      <c r="D16" s="121">
        <v>2009</v>
      </c>
      <c r="E16" s="26" t="s">
        <v>460</v>
      </c>
      <c r="F16" s="179"/>
      <c r="G16" s="28"/>
      <c r="H16" s="29"/>
      <c r="I16" s="29"/>
      <c r="J16" s="29"/>
      <c r="K16" s="29" t="s">
        <v>270</v>
      </c>
    </row>
    <row r="17" spans="1:11" s="4" customFormat="1">
      <c r="A17" s="182"/>
      <c r="B17" s="21"/>
      <c r="C17" s="21"/>
      <c r="D17" s="123">
        <v>40369</v>
      </c>
      <c r="E17" s="26" t="s">
        <v>281</v>
      </c>
      <c r="F17" s="179"/>
      <c r="G17" s="28"/>
      <c r="H17" s="29"/>
      <c r="I17" s="29"/>
      <c r="J17" s="29"/>
      <c r="K17" s="29" t="s">
        <v>270</v>
      </c>
    </row>
    <row r="18" spans="1:11" s="4" customFormat="1">
      <c r="A18" s="182"/>
      <c r="B18" s="21"/>
      <c r="C18" s="21"/>
      <c r="D18" s="122" t="s">
        <v>56</v>
      </c>
      <c r="E18" s="26" t="s">
        <v>315</v>
      </c>
      <c r="F18" s="179"/>
      <c r="G18" s="28"/>
      <c r="H18" s="29"/>
      <c r="I18" s="29"/>
      <c r="J18" s="29"/>
      <c r="K18" s="29" t="s">
        <v>270</v>
      </c>
    </row>
    <row r="19" spans="1:11" s="4" customFormat="1">
      <c r="A19" s="182"/>
      <c r="B19" s="21"/>
      <c r="C19" s="21"/>
      <c r="D19" s="123">
        <v>40219</v>
      </c>
      <c r="E19" s="26" t="s">
        <v>280</v>
      </c>
      <c r="F19" s="179"/>
      <c r="G19" s="28"/>
      <c r="H19" s="29"/>
      <c r="I19" s="29"/>
      <c r="J19" s="29"/>
      <c r="K19" s="29" t="s">
        <v>270</v>
      </c>
    </row>
    <row r="20" spans="1:11" s="4" customFormat="1">
      <c r="A20" s="182"/>
      <c r="B20" s="21"/>
      <c r="C20" s="21"/>
      <c r="D20" s="32" t="s">
        <v>349</v>
      </c>
      <c r="E20" s="26" t="s">
        <v>442</v>
      </c>
      <c r="F20" s="179"/>
      <c r="G20" s="28"/>
      <c r="H20" s="29"/>
      <c r="I20" s="29"/>
      <c r="J20" s="29"/>
      <c r="K20" s="29" t="s">
        <v>270</v>
      </c>
    </row>
    <row r="21" spans="1:11" s="4" customFormat="1">
      <c r="A21" s="182"/>
      <c r="B21" s="21"/>
      <c r="C21" s="21"/>
      <c r="D21" s="32">
        <f>A154</f>
        <v>54</v>
      </c>
      <c r="E21" s="26" t="s">
        <v>305</v>
      </c>
      <c r="F21" s="179"/>
      <c r="G21" s="28"/>
      <c r="H21" s="29"/>
      <c r="I21" s="29"/>
      <c r="J21" s="29"/>
      <c r="K21" s="29" t="s">
        <v>270</v>
      </c>
    </row>
    <row r="22" spans="1:11" s="4" customFormat="1">
      <c r="A22" s="182"/>
      <c r="B22" s="21"/>
      <c r="C22" s="21"/>
      <c r="D22" s="32" t="str">
        <f>A158</f>
        <v>Silver</v>
      </c>
      <c r="E22" s="26" t="s">
        <v>348</v>
      </c>
      <c r="F22" s="179"/>
      <c r="G22" s="28"/>
      <c r="H22" s="29"/>
      <c r="I22" s="29"/>
      <c r="J22" s="29"/>
      <c r="K22" s="29" t="s">
        <v>270</v>
      </c>
    </row>
    <row r="23" spans="1:11" s="4" customFormat="1">
      <c r="A23" s="232"/>
      <c r="B23" s="129"/>
      <c r="C23" s="21"/>
      <c r="D23" s="30"/>
      <c r="E23" s="26" t="s">
        <v>556</v>
      </c>
      <c r="F23" s="179"/>
      <c r="G23" s="28"/>
      <c r="H23" s="29"/>
      <c r="I23" s="29"/>
      <c r="J23" s="29"/>
      <c r="K23" s="29" t="s">
        <v>270</v>
      </c>
    </row>
    <row r="24" spans="1:11" s="4" customFormat="1">
      <c r="A24" s="233"/>
      <c r="B24" s="129"/>
      <c r="C24" s="21"/>
      <c r="D24" s="31"/>
      <c r="E24" s="26" t="s">
        <v>350</v>
      </c>
      <c r="F24" s="179"/>
      <c r="G24" s="28"/>
      <c r="H24" s="29"/>
      <c r="I24" s="29"/>
      <c r="J24" s="29"/>
      <c r="K24" s="29" t="s">
        <v>270</v>
      </c>
    </row>
    <row r="25" spans="1:11" s="4" customFormat="1">
      <c r="A25" s="182"/>
      <c r="B25" s="21"/>
      <c r="C25" s="21"/>
      <c r="D25" s="123"/>
      <c r="E25" s="26" t="s">
        <v>279</v>
      </c>
      <c r="F25" s="179"/>
      <c r="G25" s="28"/>
      <c r="H25" s="29"/>
      <c r="I25" s="29"/>
      <c r="J25" s="29"/>
      <c r="K25" s="29" t="s">
        <v>270</v>
      </c>
    </row>
    <row r="26" spans="1:11" s="4" customFormat="1">
      <c r="A26" s="182"/>
      <c r="B26" s="21"/>
      <c r="C26" s="21"/>
      <c r="D26" s="119"/>
      <c r="E26" s="26" t="s">
        <v>351</v>
      </c>
      <c r="F26" s="179"/>
      <c r="G26" s="28"/>
      <c r="H26" s="29"/>
      <c r="I26" s="29"/>
      <c r="J26" s="29"/>
      <c r="K26" s="29" t="s">
        <v>270</v>
      </c>
    </row>
    <row r="27" spans="1:11" s="4" customFormat="1">
      <c r="A27" s="182"/>
      <c r="B27" s="21"/>
      <c r="C27" s="21"/>
      <c r="D27" s="119"/>
      <c r="E27" s="26" t="s">
        <v>352</v>
      </c>
      <c r="F27" s="179"/>
      <c r="G27" s="28"/>
      <c r="H27" s="29"/>
      <c r="I27" s="29"/>
      <c r="J27" s="29"/>
      <c r="K27" s="29" t="s">
        <v>270</v>
      </c>
    </row>
    <row r="28" spans="1:11" s="4" customFormat="1">
      <c r="A28" s="182"/>
      <c r="B28" s="21"/>
      <c r="C28" s="21"/>
      <c r="D28" s="108">
        <f>A225</f>
        <v>0.82758620689655171</v>
      </c>
      <c r="E28" s="26" t="s">
        <v>307</v>
      </c>
      <c r="F28" s="179"/>
      <c r="G28" s="28"/>
      <c r="H28" s="29"/>
      <c r="I28" s="29"/>
      <c r="J28" s="29"/>
      <c r="K28" s="29" t="s">
        <v>270</v>
      </c>
    </row>
    <row r="29" spans="1:11" s="4" customFormat="1">
      <c r="A29" s="182"/>
      <c r="B29" s="21"/>
      <c r="C29" s="21"/>
      <c r="D29" s="108">
        <f>D193</f>
        <v>0.3</v>
      </c>
      <c r="E29" s="109" t="s">
        <v>415</v>
      </c>
      <c r="F29" s="179"/>
      <c r="G29" s="28"/>
      <c r="H29" s="29"/>
      <c r="I29" s="29"/>
      <c r="J29" s="29"/>
      <c r="K29" s="29" t="s">
        <v>270</v>
      </c>
    </row>
    <row r="30" spans="1:11" s="4" customFormat="1" ht="25.5">
      <c r="A30" s="182"/>
      <c r="B30" s="21"/>
      <c r="C30" s="21"/>
      <c r="D30" s="124">
        <f>D171</f>
        <v>0.32</v>
      </c>
      <c r="E30" s="38" t="s">
        <v>299</v>
      </c>
      <c r="F30" s="179"/>
      <c r="G30" s="28"/>
      <c r="H30" s="29"/>
      <c r="I30" s="29"/>
      <c r="J30" s="29"/>
      <c r="K30" s="29" t="s">
        <v>270</v>
      </c>
    </row>
    <row r="31" spans="1:11" s="4" customFormat="1" ht="13.5" thickBot="1">
      <c r="A31" s="182"/>
      <c r="B31" s="21"/>
      <c r="C31" s="21"/>
      <c r="D31" s="125" t="s">
        <v>553</v>
      </c>
      <c r="E31" s="26" t="s">
        <v>308</v>
      </c>
      <c r="F31" s="179"/>
      <c r="G31" s="28"/>
      <c r="H31" s="29"/>
      <c r="I31" s="29"/>
      <c r="J31" s="29"/>
      <c r="K31" s="29" t="s">
        <v>270</v>
      </c>
    </row>
    <row r="32" spans="1:11">
      <c r="A32" s="318" t="s">
        <v>353</v>
      </c>
      <c r="B32" s="319"/>
      <c r="C32" s="319"/>
      <c r="D32" s="319"/>
      <c r="E32" s="319"/>
      <c r="F32" s="320"/>
      <c r="G32" s="50"/>
    </row>
    <row r="33" spans="1:11">
      <c r="A33" s="234"/>
      <c r="C33" s="137"/>
      <c r="D33" s="137" t="str">
        <f>HYPERLINK("#"&amp;"Meet","LEED® Credits and/or Prerequisites that meet HPSB Requirements")</f>
        <v>LEED® Credits and/or Prerequisites that meet HPSB Requirements</v>
      </c>
      <c r="E33" s="2"/>
      <c r="F33" s="235"/>
    </row>
    <row r="34" spans="1:11">
      <c r="A34" s="234"/>
      <c r="C34" s="138"/>
      <c r="D34" s="138" t="str">
        <f>HYPERLINK("#"&amp;"Align","LEED® Credits and/or Prerequisites that align closely with HPSB Requirements")</f>
        <v>LEED® Credits and/or Prerequisites that align closely with HPSB Requirements</v>
      </c>
      <c r="E34" s="2"/>
      <c r="F34" s="235"/>
    </row>
    <row r="35" spans="1:11">
      <c r="A35" s="236"/>
      <c r="B35" s="9"/>
      <c r="C35" s="9"/>
      <c r="F35" s="235"/>
      <c r="G35" s="52"/>
    </row>
    <row r="36" spans="1:11" s="4" customFormat="1">
      <c r="A36" s="237" t="s">
        <v>372</v>
      </c>
      <c r="B36" s="192"/>
      <c r="C36" s="192"/>
      <c r="D36" s="192"/>
      <c r="E36" s="193"/>
      <c r="F36" s="238"/>
      <c r="G36" s="28"/>
      <c r="H36" s="29"/>
      <c r="I36" s="29"/>
      <c r="J36" s="29"/>
      <c r="K36" s="29"/>
    </row>
    <row r="37" spans="1:11" s="4" customFormat="1">
      <c r="A37" s="239" t="s">
        <v>480</v>
      </c>
      <c r="B37" s="166">
        <f>SUM((IF(A39="Yes",F39,0)+IF(A40="Yes",F40,0)+IF(A41="Yes",F41,0)+IF(A42="Yes",F42,0)+IF(A43="Yes",F43,0)+IF(A44="Yes",F44,0)+IF(A45="Yes",F45,0)+IF(A46="Yes",F46,0)+IF(A47="Yes",F47,0)+IF(A48="Yes",F48,0)+IF(A49="Yes",F49,0)+IF(A50="Yes",F50,0)+IF(A51="Yes",F51,0)+IF(A52="Yes",F52,0)))</f>
        <v>11</v>
      </c>
      <c r="C37" s="194" t="s">
        <v>372</v>
      </c>
      <c r="D37" s="194"/>
      <c r="E37" s="167" t="s">
        <v>416</v>
      </c>
      <c r="F37" s="240">
        <f>SUM(F39:F52)</f>
        <v>26</v>
      </c>
      <c r="G37" s="28"/>
      <c r="H37" s="29"/>
      <c r="I37" s="29"/>
      <c r="J37" s="29"/>
      <c r="K37" s="29"/>
    </row>
    <row r="38" spans="1:11">
      <c r="A38" s="298" t="s">
        <v>56</v>
      </c>
      <c r="B38" s="20" t="s">
        <v>373</v>
      </c>
      <c r="C38" s="20"/>
      <c r="D38" s="223" t="str">
        <f>HYPERLINK("#"&amp;"HPSBIII.3_Ref","Construction Activity Pollution Prevention (HPSB GP3)")</f>
        <v>Construction Activity Pollution Prevention (HPSB GP3)</v>
      </c>
      <c r="E38" s="39"/>
      <c r="F38" s="187" t="s">
        <v>374</v>
      </c>
      <c r="G38" s="28" t="s">
        <v>372</v>
      </c>
    </row>
    <row r="39" spans="1:11">
      <c r="A39" s="177" t="s">
        <v>56</v>
      </c>
      <c r="B39" s="16" t="s">
        <v>393</v>
      </c>
      <c r="C39" s="20"/>
      <c r="D39" s="314" t="s">
        <v>414</v>
      </c>
      <c r="E39" s="313"/>
      <c r="F39" s="169">
        <v>1</v>
      </c>
      <c r="G39" s="28" t="s">
        <v>372</v>
      </c>
    </row>
    <row r="40" spans="1:11">
      <c r="A40" s="177" t="s">
        <v>56</v>
      </c>
      <c r="B40" s="20" t="s">
        <v>376</v>
      </c>
      <c r="C40" s="20"/>
      <c r="D40" s="314" t="s">
        <v>419</v>
      </c>
      <c r="E40" s="312"/>
      <c r="F40" s="169">
        <v>5</v>
      </c>
      <c r="G40" s="28" t="s">
        <v>372</v>
      </c>
    </row>
    <row r="41" spans="1:11">
      <c r="A41" s="177" t="s">
        <v>56</v>
      </c>
      <c r="B41" s="16" t="s">
        <v>405</v>
      </c>
      <c r="C41" s="20"/>
      <c r="D41" s="40" t="s">
        <v>420</v>
      </c>
      <c r="E41" s="39"/>
      <c r="F41" s="169">
        <v>1</v>
      </c>
      <c r="G41" s="28" t="s">
        <v>372</v>
      </c>
    </row>
    <row r="42" spans="1:11">
      <c r="A42" s="177" t="s">
        <v>10</v>
      </c>
      <c r="B42" s="20" t="s">
        <v>380</v>
      </c>
      <c r="C42" s="16"/>
      <c r="D42" s="312" t="s">
        <v>273</v>
      </c>
      <c r="E42" s="313"/>
      <c r="F42" s="169">
        <v>6</v>
      </c>
      <c r="G42" s="28" t="s">
        <v>372</v>
      </c>
    </row>
    <row r="43" spans="1:11">
      <c r="A43" s="177" t="s">
        <v>10</v>
      </c>
      <c r="B43" s="20" t="s">
        <v>381</v>
      </c>
      <c r="C43" s="16"/>
      <c r="D43" s="312" t="s">
        <v>379</v>
      </c>
      <c r="E43" s="313"/>
      <c r="F43" s="169">
        <v>1</v>
      </c>
      <c r="G43" s="28" t="s">
        <v>372</v>
      </c>
    </row>
    <row r="44" spans="1:11">
      <c r="A44" s="177" t="s">
        <v>10</v>
      </c>
      <c r="B44" s="20" t="s">
        <v>399</v>
      </c>
      <c r="C44" s="16"/>
      <c r="D44" s="312" t="s">
        <v>424</v>
      </c>
      <c r="E44" s="313"/>
      <c r="F44" s="169">
        <v>3</v>
      </c>
      <c r="G44" s="28" t="s">
        <v>372</v>
      </c>
    </row>
    <row r="45" spans="1:11">
      <c r="A45" s="177" t="s">
        <v>10</v>
      </c>
      <c r="B45" s="20" t="s">
        <v>421</v>
      </c>
      <c r="C45" s="16"/>
      <c r="D45" s="312" t="s">
        <v>425</v>
      </c>
      <c r="E45" s="313"/>
      <c r="F45" s="169">
        <v>2</v>
      </c>
      <c r="G45" s="28" t="s">
        <v>372</v>
      </c>
    </row>
    <row r="46" spans="1:11">
      <c r="A46" s="177" t="s">
        <v>56</v>
      </c>
      <c r="B46" s="16" t="s">
        <v>382</v>
      </c>
      <c r="C46" s="20"/>
      <c r="D46" s="314" t="s">
        <v>423</v>
      </c>
      <c r="E46" s="313"/>
      <c r="F46" s="169">
        <v>1</v>
      </c>
      <c r="G46" s="28" t="s">
        <v>372</v>
      </c>
    </row>
    <row r="47" spans="1:11">
      <c r="A47" s="177" t="s">
        <v>10</v>
      </c>
      <c r="B47" s="16" t="s">
        <v>383</v>
      </c>
      <c r="C47" s="20"/>
      <c r="D47" s="314" t="s">
        <v>426</v>
      </c>
      <c r="E47" s="313"/>
      <c r="F47" s="169">
        <v>1</v>
      </c>
      <c r="G47" s="28" t="s">
        <v>372</v>
      </c>
    </row>
    <row r="48" spans="1:11">
      <c r="A48" s="177" t="s">
        <v>56</v>
      </c>
      <c r="B48" s="20" t="s">
        <v>384</v>
      </c>
      <c r="C48" s="20"/>
      <c r="D48" s="306" t="str">
        <f>HYPERLINK("#"&amp;"HPSBIII.4_Ref","Stormwater Design, Quantity Control (HPSB GP3)")</f>
        <v>Stormwater Design, Quantity Control (HPSB GP3)</v>
      </c>
      <c r="E48" s="307"/>
      <c r="F48" s="169">
        <v>1</v>
      </c>
      <c r="G48" s="28" t="s">
        <v>372</v>
      </c>
    </row>
    <row r="49" spans="1:11">
      <c r="A49" s="177" t="s">
        <v>56</v>
      </c>
      <c r="B49" s="20" t="s">
        <v>385</v>
      </c>
      <c r="C49" s="20"/>
      <c r="D49" s="306" t="str">
        <f>HYPERLINK("#"&amp;"HPSBIII.4_Ref","Stormwater Design, Quality Control (HPSB GP3)")</f>
        <v>Stormwater Design, Quality Control (HPSB GP3)</v>
      </c>
      <c r="E49" s="307"/>
      <c r="F49" s="169">
        <v>1</v>
      </c>
      <c r="G49" s="28" t="s">
        <v>372</v>
      </c>
    </row>
    <row r="50" spans="1:11">
      <c r="A50" s="177" t="s">
        <v>56</v>
      </c>
      <c r="B50" s="20" t="s">
        <v>406</v>
      </c>
      <c r="C50" s="20"/>
      <c r="D50" s="41" t="s">
        <v>427</v>
      </c>
      <c r="E50" s="42"/>
      <c r="F50" s="169">
        <v>1</v>
      </c>
      <c r="G50" s="28" t="s">
        <v>372</v>
      </c>
    </row>
    <row r="51" spans="1:11">
      <c r="A51" s="177" t="s">
        <v>10</v>
      </c>
      <c r="B51" s="20" t="s">
        <v>407</v>
      </c>
      <c r="C51" s="20"/>
      <c r="D51" s="41" t="s">
        <v>428</v>
      </c>
      <c r="E51" s="42"/>
      <c r="F51" s="169">
        <v>1</v>
      </c>
      <c r="G51" s="28" t="s">
        <v>372</v>
      </c>
    </row>
    <row r="52" spans="1:11" s="5" customFormat="1">
      <c r="A52" s="170" t="s">
        <v>10</v>
      </c>
      <c r="B52" s="20" t="s">
        <v>429</v>
      </c>
      <c r="C52" s="20"/>
      <c r="D52" s="41" t="s">
        <v>386</v>
      </c>
      <c r="E52" s="41"/>
      <c r="F52" s="169">
        <v>1</v>
      </c>
      <c r="G52" s="28" t="s">
        <v>372</v>
      </c>
      <c r="H52" s="51"/>
      <c r="I52" s="51"/>
      <c r="J52" s="51"/>
      <c r="K52" s="51"/>
    </row>
    <row r="53" spans="1:11" s="4" customFormat="1">
      <c r="A53" s="237" t="s">
        <v>387</v>
      </c>
      <c r="B53" s="192"/>
      <c r="C53" s="192"/>
      <c r="D53" s="192"/>
      <c r="E53" s="165"/>
      <c r="F53" s="242"/>
      <c r="G53" s="28"/>
      <c r="H53" s="29"/>
      <c r="I53" s="29"/>
      <c r="J53" s="29"/>
      <c r="K53" s="29"/>
    </row>
    <row r="54" spans="1:11" s="4" customFormat="1">
      <c r="A54" s="239" t="s">
        <v>480</v>
      </c>
      <c r="B54" s="166">
        <f>SUM((IF(A56="Yes",F56,0)+IF(A57="Yes",F57,0)+IF(A58="Yes",F58,0)+A59))</f>
        <v>7</v>
      </c>
      <c r="C54" s="194"/>
      <c r="D54" s="194"/>
      <c r="E54" s="167" t="s">
        <v>416</v>
      </c>
      <c r="F54" s="240">
        <f>SUM(F56:F58,F60:F62)</f>
        <v>10</v>
      </c>
      <c r="G54" s="28"/>
      <c r="H54" s="29"/>
      <c r="I54" s="29"/>
      <c r="J54" s="29"/>
      <c r="K54" s="29"/>
    </row>
    <row r="55" spans="1:11">
      <c r="A55" s="298" t="s">
        <v>56</v>
      </c>
      <c r="B55" s="16" t="s">
        <v>465</v>
      </c>
      <c r="C55" s="20"/>
      <c r="D55" s="308" t="str">
        <f>HYPERLINK("#"&amp;"HPSBIII.1_Ref","Water Use Reduction - 20% Reduction (HPSB GP3)")</f>
        <v>Water Use Reduction - 20% Reduction (HPSB GP3)</v>
      </c>
      <c r="E55" s="309"/>
      <c r="F55" s="187" t="s">
        <v>374</v>
      </c>
      <c r="G55" s="28" t="s">
        <v>387</v>
      </c>
    </row>
    <row r="56" spans="1:11">
      <c r="A56" s="177" t="s">
        <v>56</v>
      </c>
      <c r="B56" s="20" t="s">
        <v>388</v>
      </c>
      <c r="C56" s="20"/>
      <c r="D56" s="308" t="str">
        <f>HYPERLINK("#"&amp;"HPSBIII.2_Ref","Water Efficient Landscaping - Reduce Potable Water Use by 50% (HPSB GP3)")</f>
        <v>Water Efficient Landscaping - Reduce Potable Water Use by 50% (HPSB GP3)</v>
      </c>
      <c r="E56" s="309"/>
      <c r="F56" s="169">
        <v>2</v>
      </c>
      <c r="G56" s="28" t="s">
        <v>387</v>
      </c>
    </row>
    <row r="57" spans="1:11">
      <c r="A57" s="177" t="s">
        <v>554</v>
      </c>
      <c r="B57" s="20" t="s">
        <v>389</v>
      </c>
      <c r="C57" s="20"/>
      <c r="D57" s="310" t="str">
        <f>HYPERLINK("#"&amp;"HPSBIII.2_Ref","Water Efficient Landscaping - No Potable Use or No Irrigation")</f>
        <v>Water Efficient Landscaping - No Potable Use or No Irrigation</v>
      </c>
      <c r="E57" s="311"/>
      <c r="F57" s="169">
        <v>2</v>
      </c>
      <c r="G57" s="28" t="s">
        <v>387</v>
      </c>
    </row>
    <row r="58" spans="1:11">
      <c r="A58" s="177" t="s">
        <v>56</v>
      </c>
      <c r="B58" s="20" t="s">
        <v>376</v>
      </c>
      <c r="C58" s="20"/>
      <c r="D58" s="312" t="s">
        <v>390</v>
      </c>
      <c r="E58" s="312"/>
      <c r="F58" s="169">
        <v>2</v>
      </c>
      <c r="G58" s="28" t="s">
        <v>387</v>
      </c>
    </row>
    <row r="59" spans="1:11">
      <c r="A59" s="186">
        <v>3</v>
      </c>
      <c r="B59" s="16" t="s">
        <v>405</v>
      </c>
      <c r="C59" s="20"/>
      <c r="D59" s="266" t="str">
        <f>HYPERLINK("#"&amp;"HPSBIII.1_Ref","Water Use Reduction")</f>
        <v>Water Use Reduction</v>
      </c>
      <c r="E59" s="39"/>
      <c r="F59" s="187" t="s">
        <v>543</v>
      </c>
      <c r="G59" s="28" t="s">
        <v>387</v>
      </c>
    </row>
    <row r="60" spans="1:11" s="5" customFormat="1">
      <c r="A60" s="189"/>
      <c r="B60" s="21"/>
      <c r="C60" s="20"/>
      <c r="D60" s="61">
        <v>2</v>
      </c>
      <c r="E60" s="267" t="s">
        <v>493</v>
      </c>
      <c r="F60" s="191">
        <v>2</v>
      </c>
      <c r="G60" s="28" t="s">
        <v>387</v>
      </c>
      <c r="H60" s="40" t="s">
        <v>496</v>
      </c>
      <c r="I60" s="51" t="s">
        <v>405</v>
      </c>
      <c r="J60" s="51"/>
      <c r="K60" s="51"/>
    </row>
    <row r="61" spans="1:11" s="5" customFormat="1">
      <c r="A61" s="189"/>
      <c r="B61" s="21"/>
      <c r="C61" s="20"/>
      <c r="D61" s="61">
        <v>3</v>
      </c>
      <c r="E61" s="267" t="s">
        <v>494</v>
      </c>
      <c r="F61" s="191">
        <v>1</v>
      </c>
      <c r="G61" s="28" t="s">
        <v>387</v>
      </c>
      <c r="H61" s="40" t="s">
        <v>496</v>
      </c>
      <c r="I61" s="51" t="s">
        <v>405</v>
      </c>
      <c r="J61" s="51"/>
      <c r="K61" s="51"/>
    </row>
    <row r="62" spans="1:11" s="5" customFormat="1">
      <c r="A62" s="255"/>
      <c r="B62" s="256"/>
      <c r="C62" s="257"/>
      <c r="D62" s="61">
        <v>4</v>
      </c>
      <c r="E62" s="268" t="s">
        <v>495</v>
      </c>
      <c r="F62" s="258">
        <v>1</v>
      </c>
      <c r="G62" s="28" t="s">
        <v>387</v>
      </c>
      <c r="H62" s="40" t="s">
        <v>496</v>
      </c>
      <c r="I62" s="51" t="s">
        <v>405</v>
      </c>
      <c r="J62" s="51"/>
      <c r="K62" s="51"/>
    </row>
    <row r="63" spans="1:11" s="4" customFormat="1">
      <c r="A63" s="237" t="s">
        <v>391</v>
      </c>
      <c r="B63" s="192"/>
      <c r="C63" s="192"/>
      <c r="D63" s="192"/>
      <c r="E63" s="165"/>
      <c r="F63" s="242"/>
      <c r="G63" s="28"/>
      <c r="H63" s="29"/>
      <c r="I63" s="29"/>
      <c r="J63" s="29"/>
      <c r="K63" s="29"/>
    </row>
    <row r="64" spans="1:11" s="4" customFormat="1">
      <c r="A64" s="239" t="s">
        <v>480</v>
      </c>
      <c r="B64" s="166">
        <f>SUM((A68)+(A88)+IF(A96="Yes",F96,0)+IF(A97="Yes",F97,0)+IF(A98="Yes",F98,0))+IF(A99="Yes",F99,0)</f>
        <v>17</v>
      </c>
      <c r="C64" s="194"/>
      <c r="D64" s="194"/>
      <c r="E64" s="167" t="s">
        <v>416</v>
      </c>
      <c r="F64" s="240">
        <f>SUM(F69:F87,F89:F99)</f>
        <v>35</v>
      </c>
      <c r="G64" s="28"/>
      <c r="H64" s="29"/>
      <c r="I64" s="29"/>
      <c r="J64" s="29"/>
      <c r="K64" s="29"/>
    </row>
    <row r="65" spans="1:9">
      <c r="A65" s="298" t="s">
        <v>56</v>
      </c>
      <c r="B65" s="20" t="s">
        <v>373</v>
      </c>
      <c r="C65" s="20"/>
      <c r="D65" s="244" t="str">
        <f>HYPERLINK("#"&amp;"HPSBI.2_Ref","Fundamental Commissioning of the Building Energy Systems (HPSB GP1)")</f>
        <v>Fundamental Commissioning of the Building Energy Systems (HPSB GP1)</v>
      </c>
      <c r="E65" s="41"/>
      <c r="F65" s="187" t="s">
        <v>374</v>
      </c>
      <c r="G65" s="28" t="s">
        <v>391</v>
      </c>
    </row>
    <row r="66" spans="1:9">
      <c r="A66" s="298" t="s">
        <v>56</v>
      </c>
      <c r="B66" s="20" t="s">
        <v>375</v>
      </c>
      <c r="C66" s="20"/>
      <c r="D66" s="241" t="str">
        <f>HYPERLINK("#"&amp;"HPSBII.1_Ref","Minimum Energy Performance (HPSB GP2)")</f>
        <v>Minimum Energy Performance (HPSB GP2)</v>
      </c>
      <c r="E66" s="41"/>
      <c r="F66" s="187" t="s">
        <v>374</v>
      </c>
      <c r="G66" s="28" t="s">
        <v>391</v>
      </c>
    </row>
    <row r="67" spans="1:9">
      <c r="A67" s="298" t="s">
        <v>56</v>
      </c>
      <c r="B67" s="20" t="s">
        <v>392</v>
      </c>
      <c r="C67" s="20"/>
      <c r="D67" s="223" t="str">
        <f>HYPERLINK("#"&amp;"HPSBV.6_Ref","Fundamental Refrigerant Management (HPSB GP5)")</f>
        <v>Fundamental Refrigerant Management (HPSB GP5)</v>
      </c>
      <c r="E67" s="41"/>
      <c r="F67" s="187" t="s">
        <v>374</v>
      </c>
      <c r="G67" s="28" t="s">
        <v>391</v>
      </c>
    </row>
    <row r="68" spans="1:9">
      <c r="A68" s="186">
        <v>11</v>
      </c>
      <c r="B68" s="16" t="s">
        <v>393</v>
      </c>
      <c r="C68" s="16"/>
      <c r="D68" s="244" t="str">
        <f>HYPERLINK("#"&amp;"HPSBII.1_Ref","Optimize Energy Performance (HPSB GP)")</f>
        <v>Optimize Energy Performance (HPSB GP)</v>
      </c>
      <c r="E68" s="41"/>
      <c r="F68" s="187" t="s">
        <v>296</v>
      </c>
      <c r="G68" s="28" t="s">
        <v>391</v>
      </c>
    </row>
    <row r="69" spans="1:9">
      <c r="A69" s="189"/>
      <c r="B69" s="21"/>
      <c r="C69" s="43"/>
      <c r="D69" s="61">
        <v>1</v>
      </c>
      <c r="E69" s="44" t="s">
        <v>274</v>
      </c>
      <c r="F69" s="191">
        <v>1</v>
      </c>
      <c r="G69" s="28" t="s">
        <v>391</v>
      </c>
      <c r="H69" s="29" t="s">
        <v>438</v>
      </c>
      <c r="I69" s="29" t="s">
        <v>393</v>
      </c>
    </row>
    <row r="70" spans="1:9">
      <c r="A70" s="189"/>
      <c r="B70" s="21"/>
      <c r="C70" s="43"/>
      <c r="D70" s="61">
        <v>2</v>
      </c>
      <c r="E70" s="44" t="s">
        <v>275</v>
      </c>
      <c r="F70" s="191">
        <v>1</v>
      </c>
      <c r="G70" s="28" t="s">
        <v>391</v>
      </c>
      <c r="H70" s="29" t="s">
        <v>438</v>
      </c>
      <c r="I70" s="29" t="s">
        <v>393</v>
      </c>
    </row>
    <row r="71" spans="1:9">
      <c r="A71" s="189"/>
      <c r="B71" s="21"/>
      <c r="C71" s="43"/>
      <c r="D71" s="61">
        <v>3</v>
      </c>
      <c r="E71" s="44" t="s">
        <v>276</v>
      </c>
      <c r="F71" s="191">
        <v>1</v>
      </c>
      <c r="G71" s="28" t="s">
        <v>391</v>
      </c>
      <c r="H71" s="29" t="s">
        <v>438</v>
      </c>
      <c r="I71" s="29" t="s">
        <v>393</v>
      </c>
    </row>
    <row r="72" spans="1:9">
      <c r="A72" s="189"/>
      <c r="B72" s="21"/>
      <c r="C72" s="43"/>
      <c r="D72" s="61">
        <v>4</v>
      </c>
      <c r="E72" s="44" t="s">
        <v>277</v>
      </c>
      <c r="F72" s="191">
        <v>1</v>
      </c>
      <c r="G72" s="28" t="s">
        <v>391</v>
      </c>
      <c r="H72" s="29" t="s">
        <v>438</v>
      </c>
      <c r="I72" s="29" t="s">
        <v>393</v>
      </c>
    </row>
    <row r="73" spans="1:9">
      <c r="A73" s="189"/>
      <c r="B73" s="21"/>
      <c r="C73" s="43"/>
      <c r="D73" s="61">
        <v>5</v>
      </c>
      <c r="E73" s="44" t="s">
        <v>278</v>
      </c>
      <c r="F73" s="191">
        <v>1</v>
      </c>
      <c r="G73" s="28" t="s">
        <v>391</v>
      </c>
      <c r="H73" s="29" t="s">
        <v>438</v>
      </c>
      <c r="I73" s="29" t="s">
        <v>393</v>
      </c>
    </row>
    <row r="74" spans="1:9">
      <c r="A74" s="189"/>
      <c r="B74" s="21"/>
      <c r="C74" s="43"/>
      <c r="D74" s="61">
        <v>6</v>
      </c>
      <c r="E74" s="44" t="s">
        <v>282</v>
      </c>
      <c r="F74" s="191">
        <v>1</v>
      </c>
      <c r="G74" s="28" t="s">
        <v>391</v>
      </c>
      <c r="H74" s="29" t="s">
        <v>438</v>
      </c>
      <c r="I74" s="29" t="s">
        <v>393</v>
      </c>
    </row>
    <row r="75" spans="1:9">
      <c r="A75" s="189"/>
      <c r="B75" s="21"/>
      <c r="C75" s="43"/>
      <c r="D75" s="61">
        <v>7</v>
      </c>
      <c r="E75" s="44" t="s">
        <v>283</v>
      </c>
      <c r="F75" s="191">
        <v>1</v>
      </c>
      <c r="G75" s="28" t="s">
        <v>391</v>
      </c>
      <c r="H75" s="29" t="s">
        <v>438</v>
      </c>
      <c r="I75" s="29" t="s">
        <v>393</v>
      </c>
    </row>
    <row r="76" spans="1:9">
      <c r="A76" s="189"/>
      <c r="B76" s="21"/>
      <c r="C76" s="43"/>
      <c r="D76" s="61">
        <v>8</v>
      </c>
      <c r="E76" s="44" t="s">
        <v>284</v>
      </c>
      <c r="F76" s="191">
        <v>1</v>
      </c>
      <c r="G76" s="28" t="s">
        <v>391</v>
      </c>
      <c r="H76" s="29" t="s">
        <v>438</v>
      </c>
      <c r="I76" s="29" t="s">
        <v>393</v>
      </c>
    </row>
    <row r="77" spans="1:9">
      <c r="A77" s="189"/>
      <c r="B77" s="21"/>
      <c r="C77" s="43"/>
      <c r="D77" s="61">
        <v>9</v>
      </c>
      <c r="E77" s="44" t="s">
        <v>285</v>
      </c>
      <c r="F77" s="191">
        <v>1</v>
      </c>
      <c r="G77" s="28" t="s">
        <v>391</v>
      </c>
      <c r="H77" s="29" t="s">
        <v>438</v>
      </c>
      <c r="I77" s="29" t="s">
        <v>393</v>
      </c>
    </row>
    <row r="78" spans="1:9">
      <c r="A78" s="189"/>
      <c r="B78" s="21"/>
      <c r="C78" s="45"/>
      <c r="D78" s="61">
        <v>10</v>
      </c>
      <c r="E78" s="44" t="s">
        <v>286</v>
      </c>
      <c r="F78" s="191">
        <v>1</v>
      </c>
      <c r="G78" s="28" t="s">
        <v>391</v>
      </c>
      <c r="H78" s="29" t="s">
        <v>438</v>
      </c>
      <c r="I78" s="29" t="s">
        <v>393</v>
      </c>
    </row>
    <row r="79" spans="1:9">
      <c r="A79" s="189"/>
      <c r="B79" s="21"/>
      <c r="C79" s="43"/>
      <c r="D79" s="61">
        <v>11</v>
      </c>
      <c r="E79" s="44" t="s">
        <v>287</v>
      </c>
      <c r="F79" s="191">
        <v>1</v>
      </c>
      <c r="G79" s="28" t="s">
        <v>391</v>
      </c>
      <c r="H79" s="29" t="s">
        <v>438</v>
      </c>
      <c r="I79" s="29" t="s">
        <v>393</v>
      </c>
    </row>
    <row r="80" spans="1:9">
      <c r="A80" s="189"/>
      <c r="B80" s="21"/>
      <c r="C80" s="43"/>
      <c r="D80" s="61">
        <v>12</v>
      </c>
      <c r="E80" s="44" t="s">
        <v>288</v>
      </c>
      <c r="F80" s="191">
        <v>1</v>
      </c>
      <c r="G80" s="28" t="s">
        <v>391</v>
      </c>
      <c r="H80" s="29" t="s">
        <v>438</v>
      </c>
      <c r="I80" s="29" t="s">
        <v>393</v>
      </c>
    </row>
    <row r="81" spans="1:9">
      <c r="A81" s="189"/>
      <c r="B81" s="21"/>
      <c r="C81" s="43"/>
      <c r="D81" s="61">
        <v>13</v>
      </c>
      <c r="E81" s="44" t="s">
        <v>289</v>
      </c>
      <c r="F81" s="191">
        <v>1</v>
      </c>
      <c r="G81" s="28" t="s">
        <v>391</v>
      </c>
      <c r="H81" s="29" t="s">
        <v>438</v>
      </c>
      <c r="I81" s="29" t="s">
        <v>393</v>
      </c>
    </row>
    <row r="82" spans="1:9">
      <c r="A82" s="189"/>
      <c r="B82" s="21"/>
      <c r="C82" s="43"/>
      <c r="D82" s="61">
        <v>14</v>
      </c>
      <c r="E82" s="44" t="s">
        <v>290</v>
      </c>
      <c r="F82" s="191">
        <v>1</v>
      </c>
      <c r="G82" s="28" t="s">
        <v>391</v>
      </c>
      <c r="H82" s="29" t="s">
        <v>438</v>
      </c>
      <c r="I82" s="29" t="s">
        <v>393</v>
      </c>
    </row>
    <row r="83" spans="1:9">
      <c r="A83" s="189"/>
      <c r="B83" s="21"/>
      <c r="C83" s="43"/>
      <c r="D83" s="61">
        <v>15</v>
      </c>
      <c r="E83" s="44" t="s">
        <v>291</v>
      </c>
      <c r="F83" s="191">
        <v>1</v>
      </c>
      <c r="G83" s="28" t="s">
        <v>391</v>
      </c>
      <c r="H83" s="29" t="s">
        <v>438</v>
      </c>
      <c r="I83" s="29" t="s">
        <v>393</v>
      </c>
    </row>
    <row r="84" spans="1:9">
      <c r="A84" s="189"/>
      <c r="B84" s="21"/>
      <c r="C84" s="43"/>
      <c r="D84" s="61">
        <v>16</v>
      </c>
      <c r="E84" s="44" t="s">
        <v>292</v>
      </c>
      <c r="F84" s="191">
        <v>1</v>
      </c>
      <c r="G84" s="28" t="s">
        <v>391</v>
      </c>
      <c r="H84" s="29" t="s">
        <v>438</v>
      </c>
      <c r="I84" s="29" t="s">
        <v>393</v>
      </c>
    </row>
    <row r="85" spans="1:9">
      <c r="A85" s="189"/>
      <c r="B85" s="21"/>
      <c r="C85" s="43"/>
      <c r="D85" s="61">
        <v>17</v>
      </c>
      <c r="E85" s="44" t="s">
        <v>293</v>
      </c>
      <c r="F85" s="191">
        <v>1</v>
      </c>
      <c r="G85" s="28" t="s">
        <v>391</v>
      </c>
      <c r="H85" s="29" t="s">
        <v>438</v>
      </c>
      <c r="I85" s="29" t="s">
        <v>393</v>
      </c>
    </row>
    <row r="86" spans="1:9">
      <c r="A86" s="189"/>
      <c r="B86" s="21"/>
      <c r="C86" s="43"/>
      <c r="D86" s="61">
        <v>18</v>
      </c>
      <c r="E86" s="44" t="s">
        <v>294</v>
      </c>
      <c r="F86" s="191">
        <v>1</v>
      </c>
      <c r="G86" s="28" t="s">
        <v>391</v>
      </c>
      <c r="H86" s="29" t="s">
        <v>438</v>
      </c>
      <c r="I86" s="29" t="s">
        <v>393</v>
      </c>
    </row>
    <row r="87" spans="1:9">
      <c r="A87" s="189"/>
      <c r="B87" s="21"/>
      <c r="C87" s="43"/>
      <c r="D87" s="61">
        <v>19</v>
      </c>
      <c r="E87" s="44" t="s">
        <v>295</v>
      </c>
      <c r="F87" s="191">
        <v>1</v>
      </c>
      <c r="G87" s="28" t="s">
        <v>391</v>
      </c>
      <c r="H87" s="29" t="s">
        <v>438</v>
      </c>
      <c r="I87" s="29" t="s">
        <v>393</v>
      </c>
    </row>
    <row r="88" spans="1:9">
      <c r="A88" s="186">
        <v>2</v>
      </c>
      <c r="B88" s="16" t="s">
        <v>483</v>
      </c>
      <c r="C88" s="20"/>
      <c r="D88" s="244" t="str">
        <f>HYPERLINK("#"&amp;"HPSBII.4_Ref","On-Site Renewable Energy (HPSB GP2)")</f>
        <v>On-Site Renewable Energy (HPSB GP2)</v>
      </c>
      <c r="E88" s="245"/>
      <c r="F88" s="187" t="s">
        <v>492</v>
      </c>
      <c r="G88" s="28" t="s">
        <v>391</v>
      </c>
    </row>
    <row r="89" spans="1:9">
      <c r="A89" s="189"/>
      <c r="B89" s="21"/>
      <c r="C89" s="20"/>
      <c r="D89" s="61">
        <v>1</v>
      </c>
      <c r="E89" s="44" t="s">
        <v>484</v>
      </c>
      <c r="F89" s="191">
        <v>1</v>
      </c>
      <c r="G89" s="28" t="s">
        <v>391</v>
      </c>
      <c r="H89" s="29" t="s">
        <v>491</v>
      </c>
      <c r="I89" s="29" t="s">
        <v>483</v>
      </c>
    </row>
    <row r="90" spans="1:9">
      <c r="A90" s="189"/>
      <c r="B90" s="21"/>
      <c r="C90" s="20"/>
      <c r="D90" s="61">
        <v>2</v>
      </c>
      <c r="E90" s="44" t="s">
        <v>485</v>
      </c>
      <c r="F90" s="191">
        <v>1</v>
      </c>
      <c r="G90" s="28" t="s">
        <v>391</v>
      </c>
      <c r="H90" s="29" t="s">
        <v>491</v>
      </c>
      <c r="I90" s="29" t="s">
        <v>483</v>
      </c>
    </row>
    <row r="91" spans="1:9">
      <c r="A91" s="189"/>
      <c r="B91" s="21"/>
      <c r="C91" s="20"/>
      <c r="D91" s="61">
        <v>3</v>
      </c>
      <c r="E91" s="44" t="s">
        <v>486</v>
      </c>
      <c r="F91" s="191">
        <v>1</v>
      </c>
      <c r="G91" s="28" t="s">
        <v>391</v>
      </c>
      <c r="H91" s="29" t="s">
        <v>491</v>
      </c>
      <c r="I91" s="29" t="s">
        <v>483</v>
      </c>
    </row>
    <row r="92" spans="1:9">
      <c r="A92" s="189"/>
      <c r="B92" s="21"/>
      <c r="C92" s="20"/>
      <c r="D92" s="61">
        <v>4</v>
      </c>
      <c r="E92" s="44" t="s">
        <v>487</v>
      </c>
      <c r="F92" s="191">
        <v>1</v>
      </c>
      <c r="G92" s="28" t="s">
        <v>391</v>
      </c>
      <c r="H92" s="29" t="s">
        <v>491</v>
      </c>
      <c r="I92" s="29" t="s">
        <v>483</v>
      </c>
    </row>
    <row r="93" spans="1:9">
      <c r="A93" s="189"/>
      <c r="B93" s="21"/>
      <c r="C93" s="20"/>
      <c r="D93" s="61">
        <v>5</v>
      </c>
      <c r="E93" s="44" t="s">
        <v>488</v>
      </c>
      <c r="F93" s="191">
        <v>1</v>
      </c>
      <c r="G93" s="28" t="s">
        <v>391</v>
      </c>
      <c r="H93" s="29" t="s">
        <v>491</v>
      </c>
      <c r="I93" s="29" t="s">
        <v>483</v>
      </c>
    </row>
    <row r="94" spans="1:9">
      <c r="A94" s="189"/>
      <c r="B94" s="21"/>
      <c r="C94" s="20"/>
      <c r="D94" s="61">
        <v>6</v>
      </c>
      <c r="E94" s="44" t="s">
        <v>489</v>
      </c>
      <c r="F94" s="191">
        <v>1</v>
      </c>
      <c r="G94" s="28" t="s">
        <v>391</v>
      </c>
      <c r="H94" s="29" t="s">
        <v>491</v>
      </c>
      <c r="I94" s="29" t="s">
        <v>483</v>
      </c>
    </row>
    <row r="95" spans="1:9">
      <c r="A95" s="189"/>
      <c r="B95" s="21"/>
      <c r="C95" s="20"/>
      <c r="D95" s="61">
        <v>7</v>
      </c>
      <c r="E95" s="44" t="s">
        <v>490</v>
      </c>
      <c r="F95" s="191">
        <v>1</v>
      </c>
      <c r="G95" s="28" t="s">
        <v>391</v>
      </c>
      <c r="H95" s="29" t="s">
        <v>491</v>
      </c>
      <c r="I95" s="29" t="s">
        <v>483</v>
      </c>
    </row>
    <row r="96" spans="1:9">
      <c r="A96" s="177" t="s">
        <v>56</v>
      </c>
      <c r="B96" s="20" t="s">
        <v>405</v>
      </c>
      <c r="C96" s="20"/>
      <c r="D96" s="315" t="str">
        <f>HYPERLINK("#"&amp;"HPSBI.2_Ref","Enhanced Commissioning (HPSB GP1)")</f>
        <v>Enhanced Commissioning (HPSB GP1)</v>
      </c>
      <c r="E96" s="307"/>
      <c r="F96" s="169">
        <v>2</v>
      </c>
      <c r="G96" s="28" t="s">
        <v>391</v>
      </c>
    </row>
    <row r="97" spans="1:11">
      <c r="A97" s="177" t="s">
        <v>56</v>
      </c>
      <c r="B97" s="20" t="s">
        <v>396</v>
      </c>
      <c r="C97" s="20"/>
      <c r="D97" s="315" t="str">
        <f>HYPERLINK("#"&amp;"HPSBV.6_Ref","Enhanced Refrigerant Management (HPSB GP5)")</f>
        <v>Enhanced Refrigerant Management (HPSB GP5)</v>
      </c>
      <c r="E97" s="307"/>
      <c r="F97" s="169">
        <v>2</v>
      </c>
      <c r="G97" s="28" t="s">
        <v>391</v>
      </c>
    </row>
    <row r="98" spans="1:11">
      <c r="A98" s="177" t="s">
        <v>10</v>
      </c>
      <c r="B98" s="20" t="s">
        <v>422</v>
      </c>
      <c r="C98" s="20"/>
      <c r="D98" s="315" t="str">
        <f>HYPERLINK("#"&amp;"HPSBII.5_Ref","Measurement &amp; Verification (HPSB GP2)")</f>
        <v>Measurement &amp; Verification (HPSB GP2)</v>
      </c>
      <c r="E98" s="307"/>
      <c r="F98" s="169">
        <v>3</v>
      </c>
      <c r="G98" s="28" t="s">
        <v>391</v>
      </c>
    </row>
    <row r="99" spans="1:11">
      <c r="A99" s="170" t="s">
        <v>10</v>
      </c>
      <c r="B99" s="20" t="s">
        <v>397</v>
      </c>
      <c r="C99" s="20"/>
      <c r="D99" s="314" t="s">
        <v>430</v>
      </c>
      <c r="E99" s="312"/>
      <c r="F99" s="169">
        <v>2</v>
      </c>
      <c r="G99" s="28" t="s">
        <v>391</v>
      </c>
    </row>
    <row r="100" spans="1:11" s="4" customFormat="1">
      <c r="A100" s="237" t="s">
        <v>398</v>
      </c>
      <c r="B100" s="192"/>
      <c r="C100" s="192"/>
      <c r="D100" s="192"/>
      <c r="E100" s="165"/>
      <c r="F100" s="242"/>
      <c r="G100" s="28"/>
      <c r="H100" s="29"/>
      <c r="I100" s="29"/>
      <c r="J100" s="29"/>
      <c r="K100" s="29"/>
    </row>
    <row r="101" spans="1:11" s="4" customFormat="1">
      <c r="A101" s="239" t="s">
        <v>480</v>
      </c>
      <c r="B101" s="166">
        <f>SUM(COUNTIF(A107:A109,"Yes"),COUNTIF(A113:A114,"Yes"),COUNTIF(A118:A119,"Yes"),A103,A110,A115)</f>
        <v>6</v>
      </c>
      <c r="C101" s="194"/>
      <c r="D101" s="194"/>
      <c r="E101" s="167" t="s">
        <v>416</v>
      </c>
      <c r="F101" s="240">
        <f>SUM(F104:F109,F111:F114,F116:F119)</f>
        <v>14</v>
      </c>
      <c r="G101" s="28"/>
      <c r="H101" s="29"/>
      <c r="I101" s="29"/>
      <c r="J101" s="29"/>
      <c r="K101" s="29"/>
    </row>
    <row r="102" spans="1:11">
      <c r="A102" s="298" t="s">
        <v>56</v>
      </c>
      <c r="B102" s="20" t="s">
        <v>465</v>
      </c>
      <c r="C102" s="20"/>
      <c r="D102" s="223" t="str">
        <f>HYPERLINK("#"&amp;"HPSBV.4_Ref","Storage &amp; Collection of Recyclables (HPSB GP5)")</f>
        <v>Storage &amp; Collection of Recyclables (HPSB GP5)</v>
      </c>
      <c r="E102" s="46"/>
      <c r="F102" s="187" t="s">
        <v>374</v>
      </c>
      <c r="G102" s="28" t="s">
        <v>398</v>
      </c>
    </row>
    <row r="103" spans="1:11">
      <c r="A103" s="186">
        <v>2</v>
      </c>
      <c r="B103" s="16" t="s">
        <v>388</v>
      </c>
      <c r="C103" s="20"/>
      <c r="D103" s="40" t="s">
        <v>497</v>
      </c>
      <c r="E103" s="136"/>
      <c r="F103" s="187" t="s">
        <v>501</v>
      </c>
      <c r="G103" s="28" t="s">
        <v>398</v>
      </c>
    </row>
    <row r="104" spans="1:11">
      <c r="A104" s="189"/>
      <c r="B104" s="21"/>
      <c r="C104" s="20"/>
      <c r="D104" s="61">
        <v>1</v>
      </c>
      <c r="E104" s="44" t="s">
        <v>498</v>
      </c>
      <c r="F104" s="191">
        <v>1</v>
      </c>
      <c r="G104" s="28" t="s">
        <v>398</v>
      </c>
      <c r="H104" s="40" t="s">
        <v>497</v>
      </c>
      <c r="I104" s="29" t="s">
        <v>388</v>
      </c>
    </row>
    <row r="105" spans="1:11">
      <c r="A105" s="189"/>
      <c r="B105" s="21"/>
      <c r="C105" s="20"/>
      <c r="D105" s="61">
        <v>2</v>
      </c>
      <c r="E105" s="44" t="s">
        <v>499</v>
      </c>
      <c r="F105" s="191">
        <v>1</v>
      </c>
      <c r="G105" s="28" t="s">
        <v>398</v>
      </c>
      <c r="H105" s="40" t="s">
        <v>497</v>
      </c>
      <c r="I105" s="29" t="s">
        <v>388</v>
      </c>
    </row>
    <row r="106" spans="1:11">
      <c r="A106" s="189"/>
      <c r="B106" s="21"/>
      <c r="C106" s="20"/>
      <c r="D106" s="61">
        <v>3</v>
      </c>
      <c r="E106" s="44" t="s">
        <v>500</v>
      </c>
      <c r="F106" s="191">
        <v>1</v>
      </c>
      <c r="G106" s="28" t="s">
        <v>398</v>
      </c>
      <c r="H106" s="40" t="s">
        <v>497</v>
      </c>
      <c r="I106" s="29" t="s">
        <v>388</v>
      </c>
    </row>
    <row r="107" spans="1:11">
      <c r="A107" s="177" t="s">
        <v>56</v>
      </c>
      <c r="B107" s="20" t="s">
        <v>389</v>
      </c>
      <c r="C107" s="20"/>
      <c r="D107" s="314" t="s">
        <v>431</v>
      </c>
      <c r="E107" s="313"/>
      <c r="F107" s="169">
        <v>1</v>
      </c>
      <c r="G107" s="28" t="s">
        <v>398</v>
      </c>
    </row>
    <row r="108" spans="1:11">
      <c r="A108" s="177" t="s">
        <v>56</v>
      </c>
      <c r="B108" s="20" t="s">
        <v>394</v>
      </c>
      <c r="C108" s="20"/>
      <c r="D108" s="317" t="str">
        <f>HYPERLINK("#"&amp;"HPSBV.5_Ref","Construction Waste Management")</f>
        <v>Construction Waste Management</v>
      </c>
      <c r="E108" s="309"/>
      <c r="F108" s="169">
        <v>1</v>
      </c>
      <c r="G108" s="28" t="s">
        <v>398</v>
      </c>
    </row>
    <row r="109" spans="1:11">
      <c r="A109" s="177" t="s">
        <v>10</v>
      </c>
      <c r="B109" s="20" t="s">
        <v>395</v>
      </c>
      <c r="C109" s="20"/>
      <c r="D109" s="314" t="s">
        <v>432</v>
      </c>
      <c r="E109" s="313"/>
      <c r="F109" s="169">
        <v>1</v>
      </c>
      <c r="G109" s="28" t="s">
        <v>398</v>
      </c>
    </row>
    <row r="110" spans="1:11" s="4" customFormat="1">
      <c r="A110" s="186">
        <v>1</v>
      </c>
      <c r="B110" s="16" t="s">
        <v>405</v>
      </c>
      <c r="C110" s="20"/>
      <c r="D110" s="40" t="s">
        <v>502</v>
      </c>
      <c r="E110" s="136"/>
      <c r="F110" s="187" t="s">
        <v>503</v>
      </c>
      <c r="G110" s="188" t="s">
        <v>398</v>
      </c>
      <c r="H110" s="171"/>
      <c r="I110" s="29"/>
      <c r="J110" s="29"/>
      <c r="K110" s="29"/>
    </row>
    <row r="111" spans="1:11" s="4" customFormat="1">
      <c r="A111" s="189"/>
      <c r="B111" s="21"/>
      <c r="C111" s="20"/>
      <c r="D111" s="61">
        <v>1</v>
      </c>
      <c r="E111" s="190">
        <v>0.05</v>
      </c>
      <c r="F111" s="191">
        <v>1</v>
      </c>
      <c r="G111" s="188" t="s">
        <v>398</v>
      </c>
      <c r="H111" s="40" t="s">
        <v>502</v>
      </c>
      <c r="I111" s="29" t="s">
        <v>405</v>
      </c>
      <c r="J111" s="29"/>
      <c r="K111" s="29"/>
    </row>
    <row r="112" spans="1:11" s="4" customFormat="1">
      <c r="A112" s="189"/>
      <c r="B112" s="21"/>
      <c r="C112" s="20"/>
      <c r="D112" s="61">
        <v>2</v>
      </c>
      <c r="E112" s="190">
        <v>0.1</v>
      </c>
      <c r="F112" s="191">
        <v>1</v>
      </c>
      <c r="G112" s="188" t="s">
        <v>398</v>
      </c>
      <c r="H112" s="40" t="s">
        <v>502</v>
      </c>
      <c r="I112" s="29" t="s">
        <v>405</v>
      </c>
      <c r="J112" s="29"/>
      <c r="K112" s="29"/>
    </row>
    <row r="113" spans="1:11">
      <c r="A113" s="177" t="s">
        <v>56</v>
      </c>
      <c r="B113" s="20" t="s">
        <v>380</v>
      </c>
      <c r="C113" s="20"/>
      <c r="D113" s="315" t="str">
        <f>HYPERLINK("#"&amp;"HPSBV.1_Ref","Recycled Content, 10% (post-consumer +1/2 pre-consumer) (HPSB GP5)")</f>
        <v>Recycled Content, 10% (post-consumer +1/2 pre-consumer) (HPSB GP5)</v>
      </c>
      <c r="E113" s="307"/>
      <c r="F113" s="169">
        <v>1</v>
      </c>
      <c r="G113" s="28" t="s">
        <v>398</v>
      </c>
    </row>
    <row r="114" spans="1:11">
      <c r="A114" s="177" t="s">
        <v>554</v>
      </c>
      <c r="B114" s="20" t="s">
        <v>381</v>
      </c>
      <c r="C114" s="20"/>
      <c r="D114" s="316" t="str">
        <f>HYPERLINK("#"&amp;"HPSBV.1_Ref","Recycled Content, 20% (post-consumer +1/2 pre-consumer)")</f>
        <v>Recycled Content, 20% (post-consumer +1/2 pre-consumer)</v>
      </c>
      <c r="E114" s="311"/>
      <c r="F114" s="169">
        <v>1</v>
      </c>
      <c r="G114" s="28" t="s">
        <v>398</v>
      </c>
    </row>
    <row r="115" spans="1:11" s="4" customFormat="1">
      <c r="A115" s="186">
        <v>0</v>
      </c>
      <c r="B115" s="16" t="s">
        <v>422</v>
      </c>
      <c r="C115" s="20"/>
      <c r="D115" s="40" t="s">
        <v>504</v>
      </c>
      <c r="E115" s="136"/>
      <c r="F115" s="187" t="s">
        <v>503</v>
      </c>
      <c r="G115" s="188" t="s">
        <v>398</v>
      </c>
      <c r="H115" s="29"/>
      <c r="I115" s="29"/>
      <c r="J115" s="29"/>
      <c r="K115" s="29"/>
    </row>
    <row r="116" spans="1:11" s="4" customFormat="1">
      <c r="A116" s="189"/>
      <c r="B116" s="21"/>
      <c r="C116" s="20"/>
      <c r="D116" s="61">
        <v>1</v>
      </c>
      <c r="E116" s="44" t="s">
        <v>505</v>
      </c>
      <c r="F116" s="191">
        <v>1</v>
      </c>
      <c r="G116" s="188" t="s">
        <v>398</v>
      </c>
      <c r="H116" s="40" t="s">
        <v>504</v>
      </c>
      <c r="I116" s="29" t="s">
        <v>422</v>
      </c>
      <c r="J116" s="29"/>
      <c r="K116" s="29"/>
    </row>
    <row r="117" spans="1:11" s="4" customFormat="1">
      <c r="A117" s="189"/>
      <c r="B117" s="21"/>
      <c r="C117" s="20"/>
      <c r="D117" s="61">
        <v>2</v>
      </c>
      <c r="E117" s="44" t="s">
        <v>506</v>
      </c>
      <c r="F117" s="191">
        <v>1</v>
      </c>
      <c r="G117" s="188" t="s">
        <v>398</v>
      </c>
      <c r="H117" s="40" t="s">
        <v>504</v>
      </c>
      <c r="I117" s="29" t="s">
        <v>422</v>
      </c>
      <c r="J117" s="29"/>
      <c r="K117" s="29"/>
    </row>
    <row r="118" spans="1:11">
      <c r="A118" s="177" t="s">
        <v>10</v>
      </c>
      <c r="B118" s="20" t="s">
        <v>400</v>
      </c>
      <c r="C118" s="20"/>
      <c r="D118" s="315" t="str">
        <f>HYPERLINK("#"&amp;"HPSBV.2_Ref","Rapidly Renewable Materials (HPSB GP5)")</f>
        <v>Rapidly Renewable Materials (HPSB GP5)</v>
      </c>
      <c r="E118" s="307"/>
      <c r="F118" s="169">
        <v>1</v>
      </c>
      <c r="G118" s="28" t="s">
        <v>398</v>
      </c>
    </row>
    <row r="119" spans="1:11">
      <c r="A119" s="177" t="s">
        <v>554</v>
      </c>
      <c r="B119" s="257" t="s">
        <v>433</v>
      </c>
      <c r="C119" s="257"/>
      <c r="D119" s="322" t="str">
        <f>HYPERLINK("#"&amp;"HPSBV.2_Ref","Certified Wood (HPSB GP5)")</f>
        <v>Certified Wood (HPSB GP5)</v>
      </c>
      <c r="E119" s="323"/>
      <c r="F119" s="259">
        <v>1</v>
      </c>
      <c r="G119" s="28" t="s">
        <v>398</v>
      </c>
    </row>
    <row r="120" spans="1:11" s="4" customFormat="1">
      <c r="A120" s="237" t="s">
        <v>401</v>
      </c>
      <c r="B120" s="192"/>
      <c r="C120" s="192"/>
      <c r="D120" s="192"/>
      <c r="E120" s="165"/>
      <c r="F120" s="242"/>
      <c r="G120" s="28"/>
      <c r="H120" s="29"/>
      <c r="I120" s="29"/>
      <c r="J120" s="29"/>
      <c r="K120" s="29"/>
    </row>
    <row r="121" spans="1:11" s="4" customFormat="1">
      <c r="A121" s="239" t="s">
        <v>480</v>
      </c>
      <c r="B121" s="166">
        <f>COUNTIF(A124:A138,"Yes")</f>
        <v>8</v>
      </c>
      <c r="C121" s="194"/>
      <c r="D121" s="194"/>
      <c r="E121" s="167" t="s">
        <v>416</v>
      </c>
      <c r="F121" s="240">
        <f>SUM(F124:F138)</f>
        <v>15</v>
      </c>
      <c r="G121" s="28"/>
      <c r="H121" s="29"/>
      <c r="I121" s="29"/>
      <c r="J121" s="29"/>
      <c r="K121" s="29"/>
    </row>
    <row r="122" spans="1:11">
      <c r="A122" s="298" t="s">
        <v>56</v>
      </c>
      <c r="B122" s="20" t="s">
        <v>373</v>
      </c>
      <c r="C122" s="20"/>
      <c r="D122" s="223" t="str">
        <f>HYPERLINK("#"&amp;"HPSBIV.1_Ref","Minimum IAQ Performance (HPSB GP4)")</f>
        <v>Minimum IAQ Performance (HPSB GP4)</v>
      </c>
      <c r="E122" s="41"/>
      <c r="F122" s="187" t="s">
        <v>374</v>
      </c>
      <c r="G122" s="28" t="s">
        <v>401</v>
      </c>
    </row>
    <row r="123" spans="1:11">
      <c r="A123" s="298" t="s">
        <v>56</v>
      </c>
      <c r="B123" s="20" t="s">
        <v>375</v>
      </c>
      <c r="C123" s="20"/>
      <c r="D123" s="243" t="str">
        <f>HYPERLINK("#"&amp;"HPSBIV.9_Ref","Environmental Tobacco Smoke (ETS) Control (HPSB GP4)")</f>
        <v>Environmental Tobacco Smoke (ETS) Control (HPSB GP4)</v>
      </c>
      <c r="E123" s="41"/>
      <c r="F123" s="187" t="s">
        <v>374</v>
      </c>
      <c r="G123" s="28" t="s">
        <v>401</v>
      </c>
    </row>
    <row r="124" spans="1:11">
      <c r="A124" s="177" t="s">
        <v>56</v>
      </c>
      <c r="B124" s="20" t="s">
        <v>402</v>
      </c>
      <c r="C124" s="20"/>
      <c r="D124" s="314" t="s">
        <v>403</v>
      </c>
      <c r="E124" s="312"/>
      <c r="F124" s="169">
        <v>1</v>
      </c>
      <c r="G124" s="28" t="s">
        <v>401</v>
      </c>
    </row>
    <row r="125" spans="1:11">
      <c r="A125" s="177" t="s">
        <v>56</v>
      </c>
      <c r="B125" s="20" t="s">
        <v>376</v>
      </c>
      <c r="C125" s="20"/>
      <c r="D125" s="312" t="s">
        <v>404</v>
      </c>
      <c r="E125" s="312"/>
      <c r="F125" s="169">
        <v>1</v>
      </c>
      <c r="G125" s="28" t="s">
        <v>401</v>
      </c>
    </row>
    <row r="126" spans="1:11">
      <c r="A126" s="177" t="s">
        <v>56</v>
      </c>
      <c r="B126" s="20" t="s">
        <v>377</v>
      </c>
      <c r="C126" s="20"/>
      <c r="D126" s="308" t="str">
        <f>HYPERLINK("#"&amp;"HPSBIV.7_Ref","Construction IAQ Management Plan, During Construction (HPSB GP4)")</f>
        <v>Construction IAQ Management Plan, During Construction (HPSB GP4)</v>
      </c>
      <c r="E126" s="309"/>
      <c r="F126" s="169">
        <v>1</v>
      </c>
      <c r="G126" s="28" t="s">
        <v>401</v>
      </c>
    </row>
    <row r="127" spans="1:11">
      <c r="A127" s="177" t="s">
        <v>554</v>
      </c>
      <c r="B127" s="20" t="s">
        <v>378</v>
      </c>
      <c r="C127" s="20"/>
      <c r="D127" s="315" t="str">
        <f>HYPERLINK("#"&amp;"HPSBIV.8_Ref","Construction IAQ Management Plan, Before Occupancy (HPSB GP4)")</f>
        <v>Construction IAQ Management Plan, Before Occupancy (HPSB GP4)</v>
      </c>
      <c r="E127" s="321"/>
      <c r="F127" s="169">
        <v>1</v>
      </c>
      <c r="G127" s="28" t="s">
        <v>401</v>
      </c>
    </row>
    <row r="128" spans="1:11">
      <c r="A128" s="177" t="s">
        <v>56</v>
      </c>
      <c r="B128" s="20" t="s">
        <v>380</v>
      </c>
      <c r="C128" s="20"/>
      <c r="D128" s="315" t="str">
        <f>HYPERLINK("#"&amp;"HPSBIV.6_Ref","Low Emitting Materials, Adhesives &amp; Sealants (HPSB GP4)")</f>
        <v>Low Emitting Materials, Adhesives &amp; Sealants (HPSB GP4)</v>
      </c>
      <c r="E128" s="307"/>
      <c r="F128" s="169">
        <v>1</v>
      </c>
      <c r="G128" s="28" t="s">
        <v>401</v>
      </c>
    </row>
    <row r="129" spans="1:11">
      <c r="A129" s="177" t="s">
        <v>56</v>
      </c>
      <c r="B129" s="20" t="s">
        <v>381</v>
      </c>
      <c r="C129" s="20"/>
      <c r="D129" s="315" t="str">
        <f>HYPERLINK("#"&amp;"HPSBIV.6_Ref","Low Emitting Materials, Paints &amp; Coatings (HPSB GP4)")</f>
        <v>Low Emitting Materials, Paints &amp; Coatings (HPSB GP4)</v>
      </c>
      <c r="E129" s="307"/>
      <c r="F129" s="169">
        <v>1</v>
      </c>
      <c r="G129" s="28" t="s">
        <v>401</v>
      </c>
    </row>
    <row r="130" spans="1:11">
      <c r="A130" s="177" t="s">
        <v>10</v>
      </c>
      <c r="B130" s="20" t="s">
        <v>399</v>
      </c>
      <c r="C130" s="20"/>
      <c r="D130" s="315" t="str">
        <f>HYPERLINK("#"&amp;"HPSBIV.6_Ref","Low Emitting Materials, Flooring Systems (HPSB GP4)")</f>
        <v>Low Emitting Materials, Flooring Systems (HPSB GP4)</v>
      </c>
      <c r="E130" s="307"/>
      <c r="F130" s="169">
        <v>1</v>
      </c>
      <c r="G130" s="28" t="s">
        <v>401</v>
      </c>
    </row>
    <row r="131" spans="1:11">
      <c r="A131" s="177" t="s">
        <v>10</v>
      </c>
      <c r="B131" s="20" t="s">
        <v>421</v>
      </c>
      <c r="C131" s="20"/>
      <c r="D131" s="315" t="str">
        <f>HYPERLINK("#"&amp;"HPSBIV.6_Ref","Low Emitting Materials, Composite Wood &amp; Agrifiber Products (HPSB GP4)")</f>
        <v>Low Emitting Materials, Composite Wood &amp; Agrifiber Products (HPSB GP4)</v>
      </c>
      <c r="E131" s="307"/>
      <c r="F131" s="169">
        <v>1</v>
      </c>
      <c r="G131" s="28" t="s">
        <v>401</v>
      </c>
    </row>
    <row r="132" spans="1:11">
      <c r="A132" s="177" t="s">
        <v>56</v>
      </c>
      <c r="B132" s="20" t="s">
        <v>422</v>
      </c>
      <c r="C132" s="20"/>
      <c r="D132" s="314" t="s">
        <v>434</v>
      </c>
      <c r="E132" s="313"/>
      <c r="F132" s="169">
        <v>1</v>
      </c>
      <c r="G132" s="28" t="s">
        <v>401</v>
      </c>
    </row>
    <row r="133" spans="1:11">
      <c r="A133" s="177" t="s">
        <v>10</v>
      </c>
      <c r="B133" s="20" t="s">
        <v>384</v>
      </c>
      <c r="C133" s="20"/>
      <c r="D133" s="315" t="str">
        <f>HYPERLINK("#"&amp;"HPSBIV.5_Ref","Controllability of Systems, Lighting (HPSB GP4)")</f>
        <v>Controllability of Systems, Lighting (HPSB GP4)</v>
      </c>
      <c r="E133" s="307"/>
      <c r="F133" s="169">
        <v>1</v>
      </c>
      <c r="G133" s="28" t="s">
        <v>401</v>
      </c>
    </row>
    <row r="134" spans="1:11">
      <c r="A134" s="177" t="s">
        <v>10</v>
      </c>
      <c r="B134" s="20" t="s">
        <v>385</v>
      </c>
      <c r="C134" s="20"/>
      <c r="D134" s="314" t="s">
        <v>435</v>
      </c>
      <c r="E134" s="313"/>
      <c r="F134" s="169">
        <v>1</v>
      </c>
      <c r="G134" s="28" t="s">
        <v>401</v>
      </c>
    </row>
    <row r="135" spans="1:11">
      <c r="A135" s="177" t="s">
        <v>56</v>
      </c>
      <c r="B135" s="20" t="s">
        <v>406</v>
      </c>
      <c r="C135" s="20"/>
      <c r="D135" s="317" t="str">
        <f>HYPERLINK("#"&amp;"HPSBIV.2_Ref","Thermal Comfort, Design (HPSB GP4)")</f>
        <v>Thermal Comfort, Design (HPSB GP4)</v>
      </c>
      <c r="E135" s="309"/>
      <c r="F135" s="169">
        <v>1</v>
      </c>
      <c r="G135" s="28" t="s">
        <v>401</v>
      </c>
    </row>
    <row r="136" spans="1:11">
      <c r="A136" s="177" t="s">
        <v>10</v>
      </c>
      <c r="B136" s="20" t="s">
        <v>407</v>
      </c>
      <c r="C136" s="20"/>
      <c r="D136" s="314" t="s">
        <v>436</v>
      </c>
      <c r="E136" s="313"/>
      <c r="F136" s="169">
        <v>1</v>
      </c>
      <c r="G136" s="28" t="s">
        <v>401</v>
      </c>
    </row>
    <row r="137" spans="1:11">
      <c r="A137" s="177" t="s">
        <v>56</v>
      </c>
      <c r="B137" s="20" t="s">
        <v>408</v>
      </c>
      <c r="C137" s="20"/>
      <c r="D137" s="306" t="str">
        <f>HYPERLINK("#"&amp;"HPSBIV.4_Ref","Daylight &amp; Views - Daylight 75% of Spaces (HPSB GP4)")</f>
        <v>Daylight &amp; Views - Daylight 75% of Spaces (HPSB GP4)</v>
      </c>
      <c r="E137" s="307"/>
      <c r="F137" s="169">
        <v>1</v>
      </c>
      <c r="G137" s="28" t="s">
        <v>401</v>
      </c>
    </row>
    <row r="138" spans="1:11">
      <c r="A138" s="170" t="s">
        <v>10</v>
      </c>
      <c r="B138" s="20" t="s">
        <v>409</v>
      </c>
      <c r="C138" s="20"/>
      <c r="D138" s="312" t="s">
        <v>410</v>
      </c>
      <c r="E138" s="313"/>
      <c r="F138" s="169">
        <v>1</v>
      </c>
      <c r="G138" s="28" t="s">
        <v>401</v>
      </c>
    </row>
    <row r="139" spans="1:11" s="4" customFormat="1">
      <c r="A139" s="246" t="s">
        <v>411</v>
      </c>
      <c r="B139" s="192"/>
      <c r="C139" s="164"/>
      <c r="D139" s="164"/>
      <c r="E139" s="165"/>
      <c r="F139" s="242"/>
      <c r="G139" s="28"/>
      <c r="H139" s="29"/>
      <c r="I139" s="29"/>
      <c r="J139" s="29"/>
      <c r="K139" s="29"/>
    </row>
    <row r="140" spans="1:11" s="4" customFormat="1">
      <c r="A140" s="239" t="s">
        <v>480</v>
      </c>
      <c r="B140" s="166">
        <f>COUNTIF(A141:A146,"Yes")</f>
        <v>3</v>
      </c>
      <c r="C140" s="166"/>
      <c r="D140" s="166"/>
      <c r="E140" s="167" t="s">
        <v>416</v>
      </c>
      <c r="F140" s="240">
        <f>SUM(F141:F146)</f>
        <v>6</v>
      </c>
      <c r="G140" s="28"/>
      <c r="H140" s="29"/>
      <c r="I140" s="29"/>
      <c r="J140" s="29"/>
      <c r="K140" s="29"/>
    </row>
    <row r="141" spans="1:11">
      <c r="A141" s="168" t="s">
        <v>56</v>
      </c>
      <c r="B141" s="20" t="s">
        <v>388</v>
      </c>
      <c r="C141" s="20"/>
      <c r="D141" s="47" t="s">
        <v>437</v>
      </c>
      <c r="E141" s="42"/>
      <c r="F141" s="169">
        <v>1</v>
      </c>
      <c r="G141" s="56" t="s">
        <v>411</v>
      </c>
    </row>
    <row r="142" spans="1:11">
      <c r="A142" s="177" t="s">
        <v>56</v>
      </c>
      <c r="B142" s="20" t="s">
        <v>389</v>
      </c>
      <c r="C142" s="20"/>
      <c r="D142" s="47" t="s">
        <v>437</v>
      </c>
      <c r="E142" s="42"/>
      <c r="F142" s="169">
        <v>1</v>
      </c>
      <c r="G142" s="56" t="s">
        <v>411</v>
      </c>
    </row>
    <row r="143" spans="1:11">
      <c r="A143" s="177" t="s">
        <v>10</v>
      </c>
      <c r="B143" s="20" t="s">
        <v>412</v>
      </c>
      <c r="C143" s="20"/>
      <c r="D143" s="47" t="s">
        <v>437</v>
      </c>
      <c r="E143" s="42"/>
      <c r="F143" s="169">
        <v>1</v>
      </c>
      <c r="G143" s="56" t="s">
        <v>411</v>
      </c>
    </row>
    <row r="144" spans="1:11">
      <c r="A144" s="177" t="s">
        <v>10</v>
      </c>
      <c r="B144" s="20" t="s">
        <v>413</v>
      </c>
      <c r="C144" s="20"/>
      <c r="D144" s="47" t="s">
        <v>437</v>
      </c>
      <c r="E144" s="42"/>
      <c r="F144" s="169">
        <v>1</v>
      </c>
      <c r="G144" s="56" t="s">
        <v>411</v>
      </c>
    </row>
    <row r="145" spans="1:11">
      <c r="A145" s="177" t="s">
        <v>10</v>
      </c>
      <c r="B145" s="20" t="s">
        <v>297</v>
      </c>
      <c r="C145" s="20"/>
      <c r="D145" s="47" t="s">
        <v>437</v>
      </c>
      <c r="E145" s="42"/>
      <c r="F145" s="169">
        <v>1</v>
      </c>
      <c r="G145" s="56" t="s">
        <v>411</v>
      </c>
    </row>
    <row r="146" spans="1:11">
      <c r="A146" s="170" t="s">
        <v>56</v>
      </c>
      <c r="B146" s="20" t="s">
        <v>376</v>
      </c>
      <c r="C146" s="20"/>
      <c r="D146" s="47" t="s">
        <v>316</v>
      </c>
      <c r="E146" s="42"/>
      <c r="F146" s="169">
        <v>1</v>
      </c>
      <c r="G146" s="56" t="s">
        <v>411</v>
      </c>
    </row>
    <row r="147" spans="1:11" s="4" customFormat="1">
      <c r="A147" s="246" t="s">
        <v>298</v>
      </c>
      <c r="B147" s="192"/>
      <c r="C147" s="164"/>
      <c r="D147" s="164"/>
      <c r="E147" s="193"/>
      <c r="F147" s="242"/>
      <c r="G147" s="53"/>
      <c r="H147" s="29"/>
      <c r="I147" s="29"/>
      <c r="J147" s="29"/>
      <c r="K147" s="29"/>
    </row>
    <row r="148" spans="1:11" s="4" customFormat="1">
      <c r="A148" s="239" t="s">
        <v>480</v>
      </c>
      <c r="B148" s="166">
        <f>COUNTIF(A149:A152,"Yes")</f>
        <v>2</v>
      </c>
      <c r="C148" s="166"/>
      <c r="D148" s="166"/>
      <c r="E148" s="167" t="s">
        <v>416</v>
      </c>
      <c r="F148" s="240">
        <f>SUM(F149:F152)</f>
        <v>4</v>
      </c>
      <c r="G148" s="53"/>
      <c r="H148" s="29"/>
      <c r="I148" s="29"/>
      <c r="J148" s="29"/>
      <c r="K148" s="29"/>
    </row>
    <row r="149" spans="1:11">
      <c r="A149" s="168" t="s">
        <v>56</v>
      </c>
      <c r="B149" s="20" t="s">
        <v>388</v>
      </c>
      <c r="C149" s="20"/>
      <c r="D149" s="47" t="s">
        <v>300</v>
      </c>
      <c r="E149" s="42"/>
      <c r="F149" s="169">
        <v>1</v>
      </c>
      <c r="G149" s="54" t="s">
        <v>298</v>
      </c>
    </row>
    <row r="150" spans="1:11">
      <c r="A150" s="177" t="s">
        <v>56</v>
      </c>
      <c r="B150" s="20" t="s">
        <v>389</v>
      </c>
      <c r="C150" s="20"/>
      <c r="D150" s="47" t="s">
        <v>300</v>
      </c>
      <c r="E150" s="42"/>
      <c r="F150" s="169">
        <v>1</v>
      </c>
      <c r="G150" s="54" t="s">
        <v>298</v>
      </c>
    </row>
    <row r="151" spans="1:11">
      <c r="A151" s="177" t="s">
        <v>10</v>
      </c>
      <c r="B151" s="20" t="s">
        <v>412</v>
      </c>
      <c r="C151" s="20"/>
      <c r="D151" s="47" t="s">
        <v>300</v>
      </c>
      <c r="E151" s="42"/>
      <c r="F151" s="169">
        <v>1</v>
      </c>
      <c r="G151" s="54" t="s">
        <v>298</v>
      </c>
    </row>
    <row r="152" spans="1:11">
      <c r="A152" s="177" t="s">
        <v>10</v>
      </c>
      <c r="B152" s="20" t="s">
        <v>413</v>
      </c>
      <c r="C152" s="20"/>
      <c r="D152" s="47" t="s">
        <v>300</v>
      </c>
      <c r="E152" s="42"/>
      <c r="F152" s="169">
        <v>1</v>
      </c>
      <c r="G152" s="54" t="s">
        <v>298</v>
      </c>
    </row>
    <row r="153" spans="1:11">
      <c r="A153" s="281" t="s">
        <v>439</v>
      </c>
      <c r="B153" s="269"/>
      <c r="C153" s="60"/>
      <c r="D153" s="12"/>
      <c r="E153" s="130" t="s">
        <v>416</v>
      </c>
      <c r="F153" s="299">
        <f>SUM(F148,F140,F121,F101,F64,F54,F37)</f>
        <v>110</v>
      </c>
    </row>
    <row r="154" spans="1:11" s="4" customFormat="1">
      <c r="A154" s="282">
        <f>SUM(B148,B140,B121,B101,B64,B54,B37)</f>
        <v>54</v>
      </c>
      <c r="B154" s="104" t="s">
        <v>305</v>
      </c>
      <c r="C154" s="105"/>
      <c r="D154" s="105"/>
      <c r="E154" s="106"/>
      <c r="F154" s="247"/>
      <c r="G154" s="59"/>
      <c r="H154" s="53"/>
      <c r="I154" s="29"/>
      <c r="J154" s="29" t="s">
        <v>271</v>
      </c>
      <c r="K154" s="29"/>
    </row>
    <row r="155" spans="1:11" s="4" customFormat="1">
      <c r="A155" s="283">
        <f>SUM(COUNTIF(A39:A52,"Maybe"),COUNTIF(A56:A58,"Maybe"),COUNTIF(A96:A99,"Maybe"),COUNTIF(A107:A109,"Maybe"),COUNTIF(A113:A114,"Maybe"),COUNTIF(A118:A119,"Maybe"),COUNTIF(A124:A138,"Maybe"),COUNTIF(A141:A146,"Maybe"),COUNTIF(A149:A152,"Maybe"))</f>
        <v>4</v>
      </c>
      <c r="B155" s="107" t="s">
        <v>454</v>
      </c>
      <c r="E155" s="101"/>
      <c r="F155" s="248"/>
      <c r="G155" s="103"/>
      <c r="H155" s="53"/>
      <c r="I155" s="29"/>
      <c r="J155" s="29" t="s">
        <v>271</v>
      </c>
      <c r="K155" s="29"/>
    </row>
    <row r="156" spans="1:11" s="4" customFormat="1">
      <c r="A156" s="284">
        <f>SUM(COUNTIF(A39:A52,"No"),COUNTIF(A56:A58,"No"),COUNTIF(A96:A99,"No"),COUNTIF(A107:A109,"No"),COUNTIF(A113:A114,"No"),COUNTIF(A118:A119,"No"),COUNTIF(A124:A138,"No"),COUNTIF(A141:A146,"No"),COUNTIF(A149:A152,"No"))</f>
        <v>22</v>
      </c>
      <c r="B156" s="107" t="s">
        <v>455</v>
      </c>
      <c r="E156" s="101"/>
      <c r="F156" s="248"/>
      <c r="G156" s="103"/>
      <c r="H156" s="53"/>
      <c r="I156" s="29"/>
      <c r="J156" s="29" t="s">
        <v>271</v>
      </c>
      <c r="K156" s="29"/>
    </row>
    <row r="157" spans="1:11" s="33" customFormat="1" hidden="1">
      <c r="A157" s="285">
        <f>COUNTIF(A38,"Yes")+COUNTIF(A55,"Yes")+COUNTIF(A65:A67,"Yes")+COUNTIF(A102,"Yes")+COUNTIF(A122:A123,"Yes")</f>
        <v>8</v>
      </c>
      <c r="B157" s="270" t="s">
        <v>304</v>
      </c>
      <c r="E157" s="34"/>
      <c r="F157" s="249"/>
      <c r="G157" s="35"/>
      <c r="H157" s="36"/>
      <c r="I157" s="36"/>
      <c r="J157" s="29" t="s">
        <v>271</v>
      </c>
      <c r="K157" s="36"/>
    </row>
    <row r="158" spans="1:11" s="7" customFormat="1">
      <c r="A158" s="286" t="str">
        <f>IF(A157=8,VLOOKUP(A154,LocationList!B94:C204,2,FALSE),"Prerequisites Not Achieved")</f>
        <v>Silver</v>
      </c>
      <c r="B158" s="271" t="s">
        <v>348</v>
      </c>
      <c r="C158" s="272"/>
      <c r="D158" s="272"/>
      <c r="E158" s="273"/>
      <c r="F158" s="287"/>
      <c r="G158" s="55"/>
      <c r="H158" s="36"/>
      <c r="I158" s="36"/>
      <c r="J158" s="29" t="s">
        <v>271</v>
      </c>
      <c r="K158" s="36"/>
    </row>
    <row r="159" spans="1:11">
      <c r="A159" s="288" t="s">
        <v>301</v>
      </c>
      <c r="B159" s="134"/>
      <c r="C159" s="135"/>
      <c r="D159" s="135"/>
      <c r="E159" s="135"/>
      <c r="F159" s="227"/>
    </row>
    <row r="160" spans="1:11" ht="13.5" thickBot="1">
      <c r="A160" s="250"/>
      <c r="B160" s="27"/>
      <c r="F160" s="235"/>
    </row>
    <row r="161" spans="1:11" s="4" customFormat="1">
      <c r="A161" s="91" t="s">
        <v>227</v>
      </c>
      <c r="B161" s="22"/>
      <c r="C161" s="91"/>
      <c r="D161" s="23"/>
      <c r="E161" s="23"/>
      <c r="F161" s="162"/>
      <c r="G161" s="28"/>
      <c r="H161" s="29"/>
      <c r="I161" s="29"/>
      <c r="J161" s="29"/>
      <c r="K161" s="29"/>
    </row>
    <row r="162" spans="1:11" s="4" customFormat="1">
      <c r="A162" s="246" t="s">
        <v>228</v>
      </c>
      <c r="B162" s="163"/>
      <c r="C162" s="163"/>
      <c r="D162" s="164"/>
      <c r="E162" s="165"/>
      <c r="F162" s="242"/>
      <c r="G162" s="28"/>
      <c r="H162" s="29"/>
      <c r="I162" s="29"/>
      <c r="J162" s="29"/>
      <c r="K162" s="29"/>
    </row>
    <row r="163" spans="1:11" s="4" customFormat="1">
      <c r="A163" s="239" t="s">
        <v>480</v>
      </c>
      <c r="B163" s="166">
        <f>COUNTIF(A164:A165,"Yes")</f>
        <v>2</v>
      </c>
      <c r="C163" s="166"/>
      <c r="D163" s="166"/>
      <c r="E163" s="167" t="s">
        <v>416</v>
      </c>
      <c r="F163" s="240">
        <f>SUM(F164:F165)</f>
        <v>2</v>
      </c>
      <c r="G163" s="28"/>
      <c r="H163" s="29"/>
      <c r="I163" s="29"/>
      <c r="J163" s="29"/>
      <c r="K163" s="29"/>
    </row>
    <row r="164" spans="1:11" s="4" customFormat="1">
      <c r="A164" s="168" t="s">
        <v>56</v>
      </c>
      <c r="B164" s="13" t="s">
        <v>236</v>
      </c>
      <c r="C164" s="14"/>
      <c r="D164" s="251" t="str">
        <f>HYPERLINK("#"&amp;"HPSBI.1_Ref","Integrated Design")</f>
        <v>Integrated Design</v>
      </c>
      <c r="E164" s="15"/>
      <c r="F164" s="169">
        <v>1</v>
      </c>
      <c r="G164" s="92" t="s">
        <v>302</v>
      </c>
      <c r="H164" s="29"/>
      <c r="I164" s="29"/>
      <c r="J164" s="29"/>
      <c r="K164" s="29"/>
    </row>
    <row r="165" spans="1:11" s="4" customFormat="1">
      <c r="A165" s="170" t="s">
        <v>56</v>
      </c>
      <c r="B165" s="13" t="s">
        <v>229</v>
      </c>
      <c r="C165" s="14"/>
      <c r="D165" s="251" t="str">
        <f>HYPERLINK("#"&amp;"HPSBI.2_Ref","Commissioning")</f>
        <v>Commissioning</v>
      </c>
      <c r="E165" s="15"/>
      <c r="F165" s="169">
        <v>1</v>
      </c>
      <c r="G165" s="92" t="s">
        <v>302</v>
      </c>
      <c r="H165" s="29"/>
      <c r="I165" s="29"/>
      <c r="J165" s="29"/>
      <c r="K165" s="29"/>
    </row>
    <row r="166" spans="1:11" s="4" customFormat="1">
      <c r="A166" s="246" t="s">
        <v>230</v>
      </c>
      <c r="B166" s="163"/>
      <c r="C166" s="164"/>
      <c r="D166" s="164"/>
      <c r="E166" s="165"/>
      <c r="F166" s="242"/>
      <c r="G166" s="28"/>
      <c r="H166" s="29"/>
      <c r="I166" s="29"/>
      <c r="J166" s="29"/>
      <c r="K166" s="29"/>
    </row>
    <row r="167" spans="1:11" s="4" customFormat="1">
      <c r="A167" s="239" t="s">
        <v>480</v>
      </c>
      <c r="B167" s="166">
        <f>SUM(COUNTIF(A168,"Yes"),COUNTIF(A173:A174,"Yes"),COUNTIF(A178,"Yes"),COUNTIF(A183,"Yes"))</f>
        <v>5</v>
      </c>
      <c r="C167" s="166"/>
      <c r="D167" s="166"/>
      <c r="E167" s="167" t="s">
        <v>416</v>
      </c>
      <c r="F167" s="240">
        <f>SUM(F168:F189)</f>
        <v>5</v>
      </c>
      <c r="G167" s="28"/>
      <c r="H167" s="29"/>
      <c r="I167" s="29"/>
      <c r="J167" s="29"/>
      <c r="K167" s="29"/>
    </row>
    <row r="168" spans="1:11" s="4" customFormat="1">
      <c r="A168" s="172" t="str">
        <f>IF( OR(EXACT(D170,"Yes"),EXACT(D169,"Yes"),(D171&gt;0.299)),"Yes"," ")</f>
        <v>Yes</v>
      </c>
      <c r="B168" s="13" t="s">
        <v>231</v>
      </c>
      <c r="C168" s="16"/>
      <c r="D168" s="251" t="str">
        <f>HYPERLINK("#"&amp;"HPSBII.1_Ref","Energy Efficiency, Achieve Option 1 or 2 and insert design percentage")</f>
        <v>Energy Efficiency, Achieve Option 1 or 2 and insert design percentage</v>
      </c>
      <c r="E168" s="15"/>
      <c r="F168" s="169">
        <v>1</v>
      </c>
      <c r="G168" s="92" t="s">
        <v>302</v>
      </c>
      <c r="H168" s="93"/>
      <c r="I168" s="29"/>
      <c r="J168" s="29"/>
      <c r="K168" s="29"/>
    </row>
    <row r="169" spans="1:11" s="4" customFormat="1" ht="25.5">
      <c r="A169" s="173"/>
      <c r="B169" s="13">
        <v>1</v>
      </c>
      <c r="C169" s="43">
        <v>1</v>
      </c>
      <c r="D169" s="94" t="s">
        <v>56</v>
      </c>
      <c r="E169" s="48" t="s">
        <v>354</v>
      </c>
      <c r="F169" s="174"/>
      <c r="G169" s="92" t="s">
        <v>302</v>
      </c>
      <c r="H169" t="s">
        <v>512</v>
      </c>
      <c r="I169" s="95" t="s">
        <v>231</v>
      </c>
      <c r="J169" s="29"/>
      <c r="K169" s="29"/>
    </row>
    <row r="170" spans="1:11" s="4" customFormat="1" ht="38.25">
      <c r="A170" s="173"/>
      <c r="B170" s="13">
        <v>2</v>
      </c>
      <c r="C170" s="43">
        <v>2</v>
      </c>
      <c r="D170" s="94" t="s">
        <v>56</v>
      </c>
      <c r="E170" s="48" t="s">
        <v>545</v>
      </c>
      <c r="F170" s="175"/>
      <c r="G170" s="92" t="s">
        <v>302</v>
      </c>
      <c r="H170" t="s">
        <v>512</v>
      </c>
      <c r="I170" s="95" t="s">
        <v>231</v>
      </c>
      <c r="J170" s="29"/>
      <c r="K170" s="29"/>
    </row>
    <row r="171" spans="1:11" s="4" customFormat="1" ht="25.5">
      <c r="A171" s="173"/>
      <c r="B171" s="13"/>
      <c r="C171" s="21"/>
      <c r="D171" s="98">
        <v>0.32</v>
      </c>
      <c r="E171" s="48" t="s">
        <v>546</v>
      </c>
      <c r="F171" s="174"/>
      <c r="G171" s="92" t="s">
        <v>302</v>
      </c>
      <c r="H171" t="s">
        <v>512</v>
      </c>
      <c r="I171" s="95" t="s">
        <v>231</v>
      </c>
      <c r="J171" s="29"/>
      <c r="K171" s="29"/>
    </row>
    <row r="172" spans="1:11" s="17" customFormat="1" ht="25.5">
      <c r="A172" s="173"/>
      <c r="B172" s="13"/>
      <c r="D172" s="128"/>
      <c r="E172" s="96" t="s">
        <v>544</v>
      </c>
      <c r="F172" s="176"/>
      <c r="G172" s="92" t="s">
        <v>302</v>
      </c>
      <c r="H172" t="s">
        <v>512</v>
      </c>
      <c r="I172" s="95" t="s">
        <v>231</v>
      </c>
      <c r="J172" s="51"/>
      <c r="K172" s="51"/>
    </row>
    <row r="173" spans="1:11" s="17" customFormat="1" ht="26.25" customHeight="1">
      <c r="A173" s="177" t="s">
        <v>56</v>
      </c>
      <c r="B173" s="13" t="s">
        <v>232</v>
      </c>
      <c r="C173" s="18"/>
      <c r="D173" s="324" t="str">
        <f>HYPERLINK("#"&amp;"HPSBII.2_Ref","Preferential use of ENERGY STAR or FEMP-designated equipment, when lifecycle cost effective")</f>
        <v>Preferential use of ENERGY STAR or FEMP-designated equipment, when lifecycle cost effective</v>
      </c>
      <c r="E173" s="326"/>
      <c r="F173" s="169">
        <v>1</v>
      </c>
      <c r="G173" s="92" t="s">
        <v>302</v>
      </c>
      <c r="H173" s="97"/>
      <c r="I173" s="51"/>
      <c r="J173" s="51"/>
      <c r="K173" s="51"/>
    </row>
    <row r="174" spans="1:11" s="17" customFormat="1">
      <c r="A174" s="178" t="str">
        <f>IF( OR(EXACT(D175,"Yes"),EXACT(D176,"Yes")),"Yes"," ")</f>
        <v>Yes</v>
      </c>
      <c r="B174" s="13" t="s">
        <v>233</v>
      </c>
      <c r="C174" s="18"/>
      <c r="D174" s="251" t="str">
        <f>HYPERLINK("#"&amp;"HPSBII.3_Ref","On-site Renewable Energy - Solar Hot Water Heater System")</f>
        <v>On-site Renewable Energy - Solar Hot Water Heater System</v>
      </c>
      <c r="F174" s="169">
        <v>1</v>
      </c>
      <c r="G174" s="92" t="s">
        <v>302</v>
      </c>
      <c r="H174" s="97"/>
      <c r="I174" s="51"/>
      <c r="J174" s="51"/>
      <c r="K174" s="51"/>
    </row>
    <row r="175" spans="1:11" s="17" customFormat="1" ht="25.5">
      <c r="A175" s="173"/>
      <c r="B175" s="13"/>
      <c r="D175" s="94"/>
      <c r="E175" s="57" t="s">
        <v>443</v>
      </c>
      <c r="F175" s="179"/>
      <c r="G175" s="92" t="s">
        <v>302</v>
      </c>
      <c r="H175" s="97" t="s">
        <v>513</v>
      </c>
      <c r="I175" s="95" t="s">
        <v>233</v>
      </c>
      <c r="J175" s="51"/>
      <c r="K175" s="51"/>
    </row>
    <row r="176" spans="1:11" s="17" customFormat="1" ht="25.5">
      <c r="A176" s="173"/>
      <c r="B176" s="13"/>
      <c r="D176" s="94" t="s">
        <v>56</v>
      </c>
      <c r="E176" s="57" t="s">
        <v>444</v>
      </c>
      <c r="F176" s="179"/>
      <c r="G176" s="92" t="s">
        <v>302</v>
      </c>
      <c r="H176" s="97" t="s">
        <v>513</v>
      </c>
      <c r="I176" s="95" t="s">
        <v>233</v>
      </c>
      <c r="J176" s="51"/>
      <c r="K176" s="51"/>
    </row>
    <row r="177" spans="1:11" s="17" customFormat="1">
      <c r="A177" s="173"/>
      <c r="B177" s="13"/>
      <c r="D177" s="98">
        <v>0.3</v>
      </c>
      <c r="E177" s="10" t="s">
        <v>452</v>
      </c>
      <c r="F177" s="179"/>
      <c r="G177" s="92" t="s">
        <v>302</v>
      </c>
      <c r="H177" s="97" t="s">
        <v>513</v>
      </c>
      <c r="I177" s="95" t="s">
        <v>233</v>
      </c>
      <c r="J177" s="51"/>
      <c r="K177" s="51"/>
    </row>
    <row r="178" spans="1:11" s="17" customFormat="1">
      <c r="A178" s="178" t="str">
        <f>IF( OR(EXACT(D179,"Yes"),EXACT(D180,"Yes")),"Yes"," ")</f>
        <v>Yes</v>
      </c>
      <c r="B178" s="13" t="s">
        <v>234</v>
      </c>
      <c r="C178" s="18"/>
      <c r="D178" s="251" t="str">
        <f>HYPERLINK("#"&amp;"HPSBII.4_Ref","On-site Renewable Energy")</f>
        <v>On-site Renewable Energy</v>
      </c>
      <c r="F178" s="169">
        <v>1</v>
      </c>
      <c r="G178" s="92" t="s">
        <v>302</v>
      </c>
      <c r="H178" s="97"/>
      <c r="I178" s="51"/>
      <c r="J178" s="51"/>
      <c r="K178" s="51"/>
    </row>
    <row r="179" spans="1:11" s="17" customFormat="1" ht="25.5">
      <c r="A179" s="173"/>
      <c r="B179" s="13"/>
      <c r="D179" s="94"/>
      <c r="E179" s="58" t="s">
        <v>445</v>
      </c>
      <c r="F179" s="179"/>
      <c r="G179" s="92" t="s">
        <v>302</v>
      </c>
      <c r="H179" s="97" t="s">
        <v>514</v>
      </c>
      <c r="I179" s="95" t="s">
        <v>234</v>
      </c>
      <c r="J179" s="51"/>
      <c r="K179" s="51"/>
    </row>
    <row r="180" spans="1:11" s="17" customFormat="1" ht="25.5">
      <c r="A180" s="173"/>
      <c r="B180" s="13"/>
      <c r="D180" s="94" t="s">
        <v>56</v>
      </c>
      <c r="E180" s="57" t="s">
        <v>446</v>
      </c>
      <c r="F180" s="179"/>
      <c r="G180" s="92" t="s">
        <v>302</v>
      </c>
      <c r="H180" s="97" t="s">
        <v>514</v>
      </c>
      <c r="I180" s="95" t="s">
        <v>234</v>
      </c>
      <c r="J180" s="51"/>
      <c r="K180" s="51"/>
    </row>
    <row r="181" spans="1:11" s="17" customFormat="1">
      <c r="A181" s="173"/>
      <c r="B181" s="13"/>
      <c r="D181" s="296">
        <v>150</v>
      </c>
      <c r="E181" s="10" t="s">
        <v>303</v>
      </c>
      <c r="F181" s="179"/>
      <c r="G181" s="92" t="s">
        <v>302</v>
      </c>
      <c r="H181" s="97" t="s">
        <v>514</v>
      </c>
      <c r="I181" s="95" t="s">
        <v>234</v>
      </c>
      <c r="J181" s="51"/>
      <c r="K181" s="51"/>
    </row>
    <row r="182" spans="1:11" s="17" customFormat="1">
      <c r="A182" s="173"/>
      <c r="B182" s="13"/>
      <c r="D182" s="98">
        <v>0.03</v>
      </c>
      <c r="E182" s="19" t="s">
        <v>453</v>
      </c>
      <c r="F182" s="179"/>
      <c r="G182" s="92" t="s">
        <v>302</v>
      </c>
      <c r="H182" s="97" t="s">
        <v>514</v>
      </c>
      <c r="I182" s="95" t="s">
        <v>234</v>
      </c>
      <c r="J182" s="51"/>
      <c r="K182" s="51"/>
    </row>
    <row r="183" spans="1:11" s="17" customFormat="1">
      <c r="A183" s="178" t="str">
        <f>IF((COUNTIF(D184:D185,"Yes"))+(COUNTIF(D184:D185,"N/A"))&gt;1,"Yes","")</f>
        <v>Yes</v>
      </c>
      <c r="B183" s="13" t="s">
        <v>235</v>
      </c>
      <c r="C183" s="18"/>
      <c r="D183" s="251" t="str">
        <f>HYPERLINK("#"&amp;"HPSBII.5_Ref","Measurement and Verification - Advanced Metering")</f>
        <v>Measurement and Verification - Advanced Metering</v>
      </c>
      <c r="F183" s="169">
        <v>1</v>
      </c>
      <c r="G183" s="92" t="s">
        <v>302</v>
      </c>
      <c r="H183" s="97"/>
      <c r="I183" s="51"/>
      <c r="J183" s="51"/>
      <c r="K183" s="51"/>
    </row>
    <row r="184" spans="1:11" s="17" customFormat="1">
      <c r="A184" s="173"/>
      <c r="B184" s="13"/>
      <c r="D184" s="6" t="s">
        <v>56</v>
      </c>
      <c r="E184" s="19" t="s">
        <v>355</v>
      </c>
      <c r="F184" s="179"/>
      <c r="G184" s="92" t="s">
        <v>302</v>
      </c>
      <c r="H184" s="97" t="s">
        <v>515</v>
      </c>
      <c r="I184" s="95" t="s">
        <v>235</v>
      </c>
      <c r="J184" s="51"/>
      <c r="K184" s="51"/>
    </row>
    <row r="185" spans="1:11" s="17" customFormat="1">
      <c r="A185" s="173"/>
      <c r="B185" s="13"/>
      <c r="D185" s="6" t="s">
        <v>56</v>
      </c>
      <c r="E185" s="19" t="s">
        <v>356</v>
      </c>
      <c r="F185" s="179"/>
      <c r="G185" s="92" t="s">
        <v>302</v>
      </c>
      <c r="H185" s="97" t="s">
        <v>515</v>
      </c>
      <c r="I185" s="95" t="s">
        <v>235</v>
      </c>
      <c r="J185" s="51"/>
      <c r="K185" s="51"/>
    </row>
    <row r="186" spans="1:11" s="17" customFormat="1">
      <c r="A186" s="173"/>
      <c r="B186" s="13"/>
      <c r="D186" s="6" t="s">
        <v>555</v>
      </c>
      <c r="E186" s="19" t="s">
        <v>357</v>
      </c>
      <c r="F186" s="179"/>
      <c r="G186" s="92" t="s">
        <v>302</v>
      </c>
      <c r="H186" s="97" t="s">
        <v>515</v>
      </c>
      <c r="I186" s="95" t="s">
        <v>235</v>
      </c>
      <c r="J186" s="51"/>
      <c r="K186" s="51"/>
    </row>
    <row r="187" spans="1:11" s="4" customFormat="1" ht="27" customHeight="1">
      <c r="A187" s="127"/>
      <c r="B187" s="13" t="s">
        <v>237</v>
      </c>
      <c r="C187" s="14"/>
      <c r="D187" s="328" t="str">
        <f>HYPERLINK("#"&amp;"HPSBII.6_Ref","Project Case Study Entered in High Performance Federal Buildings Database (Recommended)")</f>
        <v>Project Case Study Entered in High Performance Federal Buildings Database (Recommended)</v>
      </c>
      <c r="E187" s="329"/>
      <c r="F187" s="179"/>
      <c r="G187" s="92" t="s">
        <v>302</v>
      </c>
      <c r="H187" s="29"/>
      <c r="I187" s="29"/>
      <c r="J187" s="29"/>
      <c r="K187" s="29"/>
    </row>
    <row r="188" spans="1:11" s="17" customFormat="1">
      <c r="A188" s="127"/>
      <c r="B188" s="13" t="s">
        <v>461</v>
      </c>
      <c r="C188" s="18"/>
      <c r="D188" s="252" t="str">
        <f>HYPERLINK("#"&amp;"OtherII.7_Ref","Reduction in fossil fuel-generated energy consumption (Recommended)")</f>
        <v>Reduction in fossil fuel-generated energy consumption (Recommended)</v>
      </c>
      <c r="F188" s="179"/>
      <c r="G188" s="92" t="s">
        <v>302</v>
      </c>
      <c r="H188" s="97"/>
      <c r="I188" s="51"/>
      <c r="J188" s="51"/>
      <c r="K188" s="51"/>
    </row>
    <row r="189" spans="1:11" s="17" customFormat="1">
      <c r="A189" s="263"/>
      <c r="B189" s="13" t="s">
        <v>462</v>
      </c>
      <c r="C189" s="18"/>
      <c r="D189" s="252" t="str">
        <f>HYPERLINK("#"&amp;"OtherII.8_Ref","Data Center Energy Consumption (Recommended)")</f>
        <v>Data Center Energy Consumption (Recommended)</v>
      </c>
      <c r="F189" s="179"/>
      <c r="G189" s="92" t="s">
        <v>302</v>
      </c>
      <c r="H189" s="97"/>
      <c r="I189" s="51"/>
      <c r="J189" s="51"/>
      <c r="K189" s="51"/>
    </row>
    <row r="190" spans="1:11" s="4" customFormat="1">
      <c r="A190" s="246" t="s">
        <v>481</v>
      </c>
      <c r="B190" s="163"/>
      <c r="C190" s="164"/>
      <c r="D190" s="164"/>
      <c r="E190" s="165"/>
      <c r="F190" s="242"/>
      <c r="G190" s="28"/>
      <c r="H190" s="99"/>
      <c r="I190" s="29"/>
      <c r="J190" s="29"/>
      <c r="K190" s="29"/>
    </row>
    <row r="191" spans="1:11" s="4" customFormat="1">
      <c r="A191" s="239" t="s">
        <v>480</v>
      </c>
      <c r="B191" s="166">
        <f>SUM(COUNTIF(A192,"Yes"),COUNTIF(A194:A197,"Yes"),COUNTIF(A200:A201,"Yes"))</f>
        <v>4</v>
      </c>
      <c r="C191" s="166"/>
      <c r="D191" s="166"/>
      <c r="E191" s="167" t="s">
        <v>416</v>
      </c>
      <c r="F191" s="240">
        <f>SUM(F192:F201)</f>
        <v>7</v>
      </c>
      <c r="G191" s="28"/>
      <c r="H191" s="99"/>
      <c r="I191" s="29"/>
      <c r="J191" s="29"/>
      <c r="K191" s="29"/>
    </row>
    <row r="192" spans="1:11" s="4" customFormat="1">
      <c r="A192" s="180" t="str">
        <f>IF(D193&gt;0.199,"Yes"," ")</f>
        <v>Yes</v>
      </c>
      <c r="B192" s="13" t="s">
        <v>239</v>
      </c>
      <c r="C192" s="100"/>
      <c r="D192" s="253" t="str">
        <f>HYPERLINK("#"&amp;"HPSBIII.1_Ref","Indoor Water - 20% Reduction")</f>
        <v>Indoor Water - 20% Reduction</v>
      </c>
      <c r="E192" s="15"/>
      <c r="F192" s="169">
        <v>1</v>
      </c>
      <c r="G192" s="92" t="s">
        <v>302</v>
      </c>
      <c r="H192" s="99"/>
      <c r="I192" s="29"/>
      <c r="J192" s="29"/>
      <c r="K192" s="29"/>
    </row>
    <row r="193" spans="1:11" s="4" customFormat="1">
      <c r="A193" s="173"/>
      <c r="B193" s="13"/>
      <c r="C193" s="100"/>
      <c r="D193" s="98">
        <v>0.3</v>
      </c>
      <c r="E193" s="10" t="s">
        <v>452</v>
      </c>
      <c r="F193" s="169"/>
      <c r="G193" s="92" t="s">
        <v>302</v>
      </c>
      <c r="H193" s="99" t="s">
        <v>516</v>
      </c>
      <c r="I193" s="95" t="s">
        <v>239</v>
      </c>
      <c r="J193" s="29"/>
      <c r="K193" s="29"/>
    </row>
    <row r="194" spans="1:11" s="4" customFormat="1">
      <c r="A194" s="177" t="s">
        <v>554</v>
      </c>
      <c r="B194" s="13" t="s">
        <v>240</v>
      </c>
      <c r="C194" s="100"/>
      <c r="D194" s="253" t="str">
        <f>HYPERLINK("#"&amp;"HPSBIII.2_Ref","Outdoor Water - Reduce Potable Water Use by 50%")</f>
        <v>Outdoor Water - Reduce Potable Water Use by 50%</v>
      </c>
      <c r="E194" s="15"/>
      <c r="F194" s="169">
        <v>1</v>
      </c>
      <c r="G194" s="92" t="s">
        <v>302</v>
      </c>
      <c r="H194" s="99"/>
      <c r="I194" s="29"/>
      <c r="J194" s="29"/>
      <c r="K194" s="29"/>
    </row>
    <row r="195" spans="1:11" s="4" customFormat="1">
      <c r="A195" s="177" t="s">
        <v>56</v>
      </c>
      <c r="B195" s="13" t="s">
        <v>241</v>
      </c>
      <c r="C195" s="100"/>
      <c r="D195" s="251" t="str">
        <f>HYPERLINK("#"&amp;"HPSBIII.3_Ref","Outdoor Water - Stormwater runoff")</f>
        <v>Outdoor Water - Stormwater runoff</v>
      </c>
      <c r="E195" s="15"/>
      <c r="F195" s="169">
        <v>1</v>
      </c>
      <c r="G195" s="92" t="s">
        <v>302</v>
      </c>
      <c r="H195" s="99"/>
      <c r="I195" s="29"/>
      <c r="J195" s="29"/>
      <c r="K195" s="29"/>
    </row>
    <row r="196" spans="1:11" s="17" customFormat="1" ht="27" customHeight="1">
      <c r="A196" s="177" t="s">
        <v>554</v>
      </c>
      <c r="B196" s="13" t="s">
        <v>242</v>
      </c>
      <c r="C196" s="18"/>
      <c r="D196" s="324" t="str">
        <f>HYPERLINK("#"&amp;"HPSBIII.4_Ref","Outdoor Water - Achieve Pre-Development Hydrology when technically feasible, when disturbance &gt; 5,000 GSF")</f>
        <v>Outdoor Water - Achieve Pre-Development Hydrology when technically feasible, when disturbance &gt; 5,000 GSF</v>
      </c>
      <c r="E196" s="325"/>
      <c r="F196" s="169">
        <v>1</v>
      </c>
      <c r="G196" s="92" t="s">
        <v>302</v>
      </c>
      <c r="H196" s="97"/>
      <c r="I196" s="51"/>
      <c r="J196" s="51"/>
      <c r="K196" s="51"/>
    </row>
    <row r="197" spans="1:11" s="17" customFormat="1">
      <c r="A197" s="178" t="str">
        <f>IF( OR(EXACT(D198,"Yes"),EXACT(D199,"Yes")),"Yes"," ")</f>
        <v>Yes</v>
      </c>
      <c r="B197" s="13" t="s">
        <v>243</v>
      </c>
      <c r="C197" s="18"/>
      <c r="D197" s="254" t="str">
        <f>HYPERLINK("#"&amp;"HPSBIII.5_Ref","Process water potable water use")</f>
        <v>Process water potable water use</v>
      </c>
      <c r="E197" s="26"/>
      <c r="F197" s="169">
        <v>1</v>
      </c>
      <c r="G197" s="92" t="s">
        <v>302</v>
      </c>
      <c r="H197" s="97"/>
      <c r="I197" s="51"/>
      <c r="J197" s="51"/>
      <c r="K197" s="51"/>
    </row>
    <row r="198" spans="1:11" s="17" customFormat="1" ht="25.5">
      <c r="A198" s="173"/>
      <c r="B198" s="13"/>
      <c r="C198" s="26"/>
      <c r="D198" s="94" t="s">
        <v>56</v>
      </c>
      <c r="E198" s="57" t="s">
        <v>450</v>
      </c>
      <c r="F198" s="179"/>
      <c r="G198" s="92" t="s">
        <v>302</v>
      </c>
      <c r="H198" s="97" t="s">
        <v>447</v>
      </c>
      <c r="I198" s="95" t="s">
        <v>243</v>
      </c>
      <c r="J198" s="51"/>
      <c r="K198" s="51"/>
    </row>
    <row r="199" spans="1:11" s="17" customFormat="1" ht="25.5">
      <c r="A199" s="173"/>
      <c r="B199" s="13"/>
      <c r="C199" s="26"/>
      <c r="D199" s="94"/>
      <c r="E199" s="57" t="s">
        <v>451</v>
      </c>
      <c r="F199" s="179"/>
      <c r="G199" s="92" t="s">
        <v>302</v>
      </c>
      <c r="H199" s="97" t="s">
        <v>447</v>
      </c>
      <c r="I199" s="95" t="s">
        <v>243</v>
      </c>
      <c r="J199" s="51"/>
      <c r="K199" s="51"/>
    </row>
    <row r="200" spans="1:11" s="17" customFormat="1">
      <c r="A200" s="177" t="s">
        <v>56</v>
      </c>
      <c r="B200" s="13" t="s">
        <v>244</v>
      </c>
      <c r="C200" s="18"/>
      <c r="D200" s="324" t="str">
        <f>HYPERLINK("#"&amp;"HPSBIII.6_Ref","Water-Efficient Products")</f>
        <v>Water-Efficient Products</v>
      </c>
      <c r="E200" s="325"/>
      <c r="F200" s="169">
        <v>1</v>
      </c>
      <c r="G200" s="92" t="s">
        <v>302</v>
      </c>
      <c r="H200" s="51"/>
      <c r="I200" s="51"/>
      <c r="J200" s="51"/>
      <c r="K200" s="51"/>
    </row>
    <row r="201" spans="1:11" s="17" customFormat="1">
      <c r="A201" s="177" t="s">
        <v>10</v>
      </c>
      <c r="B201" s="260" t="s">
        <v>245</v>
      </c>
      <c r="C201" s="261"/>
      <c r="D201" s="264" t="str">
        <f>HYPERLINK("#"&amp;"HPSBIII.7_Ref","Water Efficient Products - Irrigation Contractors")</f>
        <v>Water Efficient Products - Irrigation Contractors</v>
      </c>
      <c r="E201" s="265"/>
      <c r="F201" s="259">
        <v>1</v>
      </c>
      <c r="G201" s="92" t="s">
        <v>302</v>
      </c>
      <c r="H201" s="51"/>
      <c r="I201" s="51"/>
      <c r="J201" s="51"/>
      <c r="K201" s="51"/>
    </row>
    <row r="202" spans="1:11" s="4" customFormat="1">
      <c r="A202" s="246" t="s">
        <v>482</v>
      </c>
      <c r="B202" s="163"/>
      <c r="C202" s="164"/>
      <c r="D202" s="164"/>
      <c r="E202" s="165"/>
      <c r="F202" s="242"/>
      <c r="G202" s="28"/>
      <c r="H202" s="29"/>
      <c r="I202" s="29"/>
      <c r="J202" s="29"/>
      <c r="K202" s="29"/>
    </row>
    <row r="203" spans="1:11" s="4" customFormat="1">
      <c r="A203" s="239" t="s">
        <v>480</v>
      </c>
      <c r="B203" s="166">
        <f>COUNTIF(A204:A212,"Yes")</f>
        <v>8</v>
      </c>
      <c r="C203" s="166"/>
      <c r="D203" s="166"/>
      <c r="E203" s="167" t="s">
        <v>416</v>
      </c>
      <c r="F203" s="240">
        <f>SUM(F204:F212)</f>
        <v>9</v>
      </c>
      <c r="G203" s="28"/>
      <c r="H203" s="29"/>
      <c r="I203" s="29"/>
      <c r="J203" s="29"/>
      <c r="K203" s="29"/>
    </row>
    <row r="204" spans="1:11" s="4" customFormat="1">
      <c r="A204" s="168" t="s">
        <v>56</v>
      </c>
      <c r="B204" s="13" t="s">
        <v>247</v>
      </c>
      <c r="C204" s="20"/>
      <c r="D204" s="251" t="str">
        <f>HYPERLINK("#"&amp;"HPSBIV.1_Ref","Ventilation: ASHRAE 62.1-2007")</f>
        <v>Ventilation: ASHRAE 62.1-2007</v>
      </c>
      <c r="E204" s="25"/>
      <c r="F204" s="169">
        <v>1</v>
      </c>
      <c r="G204" s="92" t="s">
        <v>302</v>
      </c>
      <c r="H204" s="29"/>
      <c r="I204" s="29"/>
      <c r="J204" s="29"/>
      <c r="K204" s="29"/>
    </row>
    <row r="205" spans="1:11" s="4" customFormat="1">
      <c r="A205" s="177" t="s">
        <v>56</v>
      </c>
      <c r="B205" s="13" t="s">
        <v>248</v>
      </c>
      <c r="C205" s="20"/>
      <c r="D205" s="251" t="str">
        <f>HYPERLINK("#"&amp;"HPSBIV.2_Ref","Thermal Comfort, ASHRAE 55-2004")</f>
        <v>Thermal Comfort, ASHRAE 55-2004</v>
      </c>
      <c r="E205" s="25"/>
      <c r="F205" s="169">
        <v>1</v>
      </c>
      <c r="G205" s="92" t="s">
        <v>302</v>
      </c>
      <c r="H205" s="29"/>
      <c r="I205" s="29"/>
      <c r="J205" s="29"/>
      <c r="K205" s="29"/>
    </row>
    <row r="206" spans="1:11" s="17" customFormat="1">
      <c r="A206" s="177" t="s">
        <v>56</v>
      </c>
      <c r="B206" s="13" t="s">
        <v>249</v>
      </c>
      <c r="C206" s="18"/>
      <c r="D206" s="324" t="str">
        <f>HYPERLINK("#"&amp;"HPSBIV.3_Ref","Moisture Control - Comply with ETL 04-3: Design Criteria for Prevention of Mold in AF Facilities")</f>
        <v>Moisture Control - Comply with ETL 04-3: Design Criteria for Prevention of Mold in AF Facilities</v>
      </c>
      <c r="E206" s="327"/>
      <c r="F206" s="169">
        <v>1</v>
      </c>
      <c r="G206" s="92" t="s">
        <v>302</v>
      </c>
      <c r="H206" s="51"/>
      <c r="I206" s="51"/>
      <c r="J206" s="51"/>
      <c r="K206" s="51"/>
    </row>
    <row r="207" spans="1:11" s="4" customFormat="1">
      <c r="A207" s="177" t="s">
        <v>56</v>
      </c>
      <c r="B207" s="13" t="s">
        <v>250</v>
      </c>
      <c r="C207" s="20"/>
      <c r="D207" s="253" t="str">
        <f>HYPERLINK("#"&amp;"HPSBIV.4_Ref","Daylighting - 75% of Spaces")</f>
        <v>Daylighting - 75% of Spaces</v>
      </c>
      <c r="E207" s="25"/>
      <c r="F207" s="169">
        <v>1</v>
      </c>
      <c r="G207" s="92" t="s">
        <v>302</v>
      </c>
      <c r="H207" s="29"/>
      <c r="I207" s="29"/>
      <c r="J207" s="29"/>
      <c r="K207" s="29"/>
    </row>
    <row r="208" spans="1:11" s="4" customFormat="1">
      <c r="A208" s="177" t="s">
        <v>56</v>
      </c>
      <c r="B208" s="13" t="s">
        <v>251</v>
      </c>
      <c r="C208" s="20"/>
      <c r="D208" s="251" t="str">
        <f>HYPERLINK("#"&amp;"HPSBIV.5_Ref","Daylighting - Controllability of Systems")</f>
        <v>Daylighting - Controllability of Systems</v>
      </c>
      <c r="E208" s="25"/>
      <c r="F208" s="169">
        <v>1</v>
      </c>
      <c r="G208" s="92" t="s">
        <v>302</v>
      </c>
      <c r="H208" s="29"/>
      <c r="I208" s="29"/>
      <c r="J208" s="29"/>
      <c r="K208" s="29"/>
    </row>
    <row r="209" spans="1:11" s="17" customFormat="1">
      <c r="A209" s="177" t="s">
        <v>56</v>
      </c>
      <c r="B209" s="13" t="s">
        <v>252</v>
      </c>
      <c r="C209" s="18"/>
      <c r="D209" s="324" t="str">
        <f>HYPERLINK("#"&amp;"HPSBIV.6_Ref","Low Emitting Materials")</f>
        <v>Low Emitting Materials</v>
      </c>
      <c r="E209" s="326"/>
      <c r="F209" s="169">
        <v>1</v>
      </c>
      <c r="G209" s="92" t="s">
        <v>302</v>
      </c>
      <c r="H209" s="51"/>
      <c r="I209" s="51"/>
      <c r="J209" s="51"/>
      <c r="K209" s="51"/>
    </row>
    <row r="210" spans="1:11" s="4" customFormat="1">
      <c r="A210" s="177" t="s">
        <v>554</v>
      </c>
      <c r="B210" s="13" t="s">
        <v>253</v>
      </c>
      <c r="C210" s="20"/>
      <c r="D210" s="253" t="str">
        <f>HYPERLINK("#"&amp;"HPSBIV.7_Ref","Protect Indoor Air Quality during Construction")</f>
        <v>Protect Indoor Air Quality during Construction</v>
      </c>
      <c r="E210" s="25"/>
      <c r="F210" s="169">
        <v>1</v>
      </c>
      <c r="G210" s="92" t="s">
        <v>302</v>
      </c>
      <c r="H210" s="29"/>
      <c r="I210" s="29"/>
      <c r="J210" s="29"/>
      <c r="K210" s="29"/>
    </row>
    <row r="211" spans="1:11" s="4" customFormat="1">
      <c r="A211" s="177" t="s">
        <v>56</v>
      </c>
      <c r="B211" s="13" t="s">
        <v>254</v>
      </c>
      <c r="C211" s="20"/>
      <c r="D211" s="253" t="str">
        <f>HYPERLINK("#"&amp;"HPSBIV.8_Ref","Protect Indoor Air Quality after Construction")</f>
        <v>Protect Indoor Air Quality after Construction</v>
      </c>
      <c r="E211" s="25"/>
      <c r="F211" s="169">
        <v>1</v>
      </c>
      <c r="G211" s="92" t="s">
        <v>302</v>
      </c>
      <c r="H211" s="29"/>
      <c r="I211" s="29"/>
      <c r="J211" s="29"/>
      <c r="K211" s="29"/>
    </row>
    <row r="212" spans="1:11" s="4" customFormat="1">
      <c r="A212" s="177" t="s">
        <v>56</v>
      </c>
      <c r="B212" s="13" t="s">
        <v>255</v>
      </c>
      <c r="C212" s="20"/>
      <c r="D212" s="253" t="str">
        <f>HYPERLINK("#"&amp;"HPSBIV.9_Ref","Environmental Tobacco Smoke (ETS) Control")</f>
        <v>Environmental Tobacco Smoke (ETS) Control</v>
      </c>
      <c r="E212" s="25"/>
      <c r="F212" s="169">
        <v>1</v>
      </c>
      <c r="G212" s="92" t="s">
        <v>302</v>
      </c>
      <c r="H212" s="29"/>
      <c r="I212" s="29"/>
      <c r="J212" s="29"/>
      <c r="K212" s="29"/>
    </row>
    <row r="213" spans="1:11" s="4" customFormat="1">
      <c r="A213" s="246" t="s">
        <v>256</v>
      </c>
      <c r="B213" s="163"/>
      <c r="C213" s="164"/>
      <c r="D213" s="164"/>
      <c r="E213" s="165"/>
      <c r="F213" s="242"/>
      <c r="G213" s="28"/>
      <c r="H213" s="29"/>
      <c r="I213" s="29"/>
      <c r="J213" s="29"/>
      <c r="K213" s="29"/>
    </row>
    <row r="214" spans="1:11" s="4" customFormat="1">
      <c r="A214" s="239" t="s">
        <v>480</v>
      </c>
      <c r="B214" s="166">
        <f>COUNTIF(A215:A220,"Yes")</f>
        <v>5</v>
      </c>
      <c r="C214" s="166"/>
      <c r="D214" s="166"/>
      <c r="E214" s="167" t="s">
        <v>416</v>
      </c>
      <c r="F214" s="240">
        <f>SUM(F215:F220)</f>
        <v>6</v>
      </c>
      <c r="G214" s="28"/>
      <c r="H214" s="29"/>
      <c r="I214" s="29"/>
      <c r="J214" s="29"/>
      <c r="K214" s="29"/>
    </row>
    <row r="215" spans="1:11" s="17" customFormat="1">
      <c r="A215" s="177" t="s">
        <v>56</v>
      </c>
      <c r="B215" s="13" t="s">
        <v>257</v>
      </c>
      <c r="C215" s="18"/>
      <c r="D215" s="251" t="str">
        <f>HYPERLINK("#"&amp;"HPSBV.1_Ref","Recycled Content")</f>
        <v>Recycled Content</v>
      </c>
      <c r="F215" s="169">
        <v>1</v>
      </c>
      <c r="G215" s="92" t="s">
        <v>302</v>
      </c>
      <c r="H215" s="51"/>
      <c r="I215" s="51"/>
      <c r="J215" s="51"/>
      <c r="K215" s="51"/>
    </row>
    <row r="216" spans="1:11" s="17" customFormat="1">
      <c r="A216" s="177" t="s">
        <v>56</v>
      </c>
      <c r="B216" s="13" t="s">
        <v>258</v>
      </c>
      <c r="C216" s="18"/>
      <c r="D216" s="251" t="str">
        <f>HYPERLINK("#"&amp;"HPSBV.2_Ref","Biobased Content")</f>
        <v>Biobased Content</v>
      </c>
      <c r="F216" s="169">
        <v>1</v>
      </c>
      <c r="G216" s="92" t="s">
        <v>302</v>
      </c>
      <c r="H216" s="51"/>
      <c r="I216" s="51"/>
      <c r="J216" s="51"/>
      <c r="K216" s="51"/>
    </row>
    <row r="217" spans="1:11" s="17" customFormat="1">
      <c r="A217" s="177" t="s">
        <v>56</v>
      </c>
      <c r="B217" s="13" t="s">
        <v>259</v>
      </c>
      <c r="C217" s="18"/>
      <c r="D217" s="251" t="str">
        <f>HYPERLINK("#"&amp;"HPSBV.3_Ref","Environmentally Preferable Products")</f>
        <v>Environmentally Preferable Products</v>
      </c>
      <c r="F217" s="169">
        <v>1</v>
      </c>
      <c r="G217" s="92" t="s">
        <v>302</v>
      </c>
      <c r="H217" s="51"/>
      <c r="I217" s="51"/>
      <c r="J217" s="51"/>
      <c r="K217" s="51"/>
    </row>
    <row r="218" spans="1:11" s="4" customFormat="1">
      <c r="A218" s="177" t="s">
        <v>56</v>
      </c>
      <c r="B218" s="13" t="s">
        <v>260</v>
      </c>
      <c r="C218" s="20"/>
      <c r="D218" s="251" t="str">
        <f>HYPERLINK("#"&amp;"HPSBV.4_Ref","Waste and Materials Management - Recycling")</f>
        <v>Waste and Materials Management - Recycling</v>
      </c>
      <c r="E218" s="15"/>
      <c r="F218" s="169">
        <v>1</v>
      </c>
      <c r="G218" s="92" t="s">
        <v>302</v>
      </c>
      <c r="H218" s="29"/>
      <c r="I218" s="29"/>
      <c r="J218" s="29"/>
      <c r="K218" s="29"/>
    </row>
    <row r="219" spans="1:11" s="4" customFormat="1">
      <c r="A219" s="177" t="s">
        <v>554</v>
      </c>
      <c r="B219" s="13" t="s">
        <v>261</v>
      </c>
      <c r="C219" s="20"/>
      <c r="D219" s="251" t="str">
        <f>HYPERLINK("#"&amp;"HPSBV.5_Ref","Waste and Materials Management - Divert 50% from Disposal")</f>
        <v>Waste and Materials Management - Divert 50% from Disposal</v>
      </c>
      <c r="E219" s="15"/>
      <c r="F219" s="169">
        <v>1</v>
      </c>
      <c r="G219" s="92" t="s">
        <v>302</v>
      </c>
      <c r="H219" s="29"/>
      <c r="I219" s="29"/>
      <c r="J219" s="29"/>
      <c r="K219" s="29"/>
    </row>
    <row r="220" spans="1:11" s="4" customFormat="1">
      <c r="A220" s="170" t="s">
        <v>56</v>
      </c>
      <c r="B220" s="13" t="s">
        <v>262</v>
      </c>
      <c r="C220" s="20"/>
      <c r="D220" s="251" t="str">
        <f>HYPERLINK("#"&amp;"HPSBV.6_Ref","Ozone Depleting Compounds")</f>
        <v>Ozone Depleting Compounds</v>
      </c>
      <c r="E220" s="15"/>
      <c r="F220" s="169">
        <v>1</v>
      </c>
      <c r="G220" s="92" t="s">
        <v>302</v>
      </c>
      <c r="H220" s="29"/>
      <c r="I220" s="29"/>
      <c r="J220" s="29"/>
      <c r="K220" s="29"/>
    </row>
    <row r="221" spans="1:11" s="4" customFormat="1">
      <c r="A221" s="289" t="s">
        <v>456</v>
      </c>
      <c r="B221" s="274"/>
      <c r="C221" s="274"/>
      <c r="D221" s="275"/>
      <c r="E221" s="276" t="s">
        <v>416</v>
      </c>
      <c r="F221" s="277">
        <f>SUM(F214,F203,F191,F167,F163)</f>
        <v>29</v>
      </c>
      <c r="G221" s="28"/>
      <c r="H221" s="29"/>
      <c r="I221" s="29"/>
      <c r="J221" s="29"/>
      <c r="K221" s="29"/>
    </row>
    <row r="222" spans="1:11" s="4" customFormat="1">
      <c r="A222" s="290">
        <f>SUM(B214,B203,B191,B167,B163)</f>
        <v>24</v>
      </c>
      <c r="B222" s="278" t="s">
        <v>366</v>
      </c>
      <c r="C222" s="280"/>
      <c r="D222" s="279"/>
      <c r="E222" s="279"/>
      <c r="F222" s="291"/>
      <c r="G222" s="28"/>
      <c r="H222" s="29"/>
      <c r="I222" s="29"/>
      <c r="J222" s="102" t="s">
        <v>271</v>
      </c>
      <c r="K222" s="29"/>
    </row>
    <row r="223" spans="1:11" s="17" customFormat="1">
      <c r="A223" s="292">
        <f>SUM(COUNTIF(A164:A165,"Maybe"),COUNTIF(A168,"Maybe"),COUNTIF(A173:A174,"Maybe"),COUNTIF(A178,"Maybe"),COUNTIF(A183,"Maybe"),COUNTIF(A192,"Maybe"),COUNTIF(A194:A197,"Maybe"),COUNTIF(A200:A201,"Maybe"),COUNTIF(A204:A212,"Maybe"),COUNTIF(A215:A220,"Maybe"))</f>
        <v>4</v>
      </c>
      <c r="B223" s="11" t="s">
        <v>418</v>
      </c>
      <c r="D223" s="24"/>
      <c r="E223" s="24"/>
      <c r="F223" s="181"/>
      <c r="G223" s="50"/>
      <c r="H223" s="51"/>
      <c r="I223" s="51"/>
      <c r="J223" s="102" t="s">
        <v>271</v>
      </c>
      <c r="K223" s="51"/>
    </row>
    <row r="224" spans="1:11" s="17" customFormat="1">
      <c r="A224" s="293">
        <f>SUM(COUNTIF(A164:A165,"Yes"),COUNTIF(A168,"No"),COUNTIF(A173:A174,"No"),COUNTIF(A178,"No"),COUNTIF(A183,"No"),COUNTIF(A192,"No"),COUNTIF(A194:A197,"No"),COUNTIF(A200:A201,"No"),COUNTIF(A204:A212,"No"),COUNTIF(A215:A220,"No"))</f>
        <v>3</v>
      </c>
      <c r="B224" s="11" t="s">
        <v>417</v>
      </c>
      <c r="D224" s="24"/>
      <c r="E224" s="24"/>
      <c r="F224" s="181"/>
      <c r="G224" s="50"/>
      <c r="H224" s="51"/>
      <c r="I224" s="51"/>
      <c r="J224" s="102" t="s">
        <v>271</v>
      </c>
      <c r="K224" s="51"/>
    </row>
    <row r="225" spans="1:11" s="4" customFormat="1" ht="13.5" thickBot="1">
      <c r="A225" s="294">
        <f>(A222/F221)</f>
        <v>0.82758620689655171</v>
      </c>
      <c r="B225" s="183" t="s">
        <v>269</v>
      </c>
      <c r="C225" s="295"/>
      <c r="D225" s="184"/>
      <c r="E225" s="184"/>
      <c r="F225" s="185"/>
      <c r="G225" s="28"/>
      <c r="H225" s="29"/>
      <c r="I225" s="29"/>
      <c r="J225" s="29" t="s">
        <v>271</v>
      </c>
      <c r="K225" s="29"/>
    </row>
  </sheetData>
  <sheetProtection password="D3C3" sheet="1"/>
  <mergeCells count="47">
    <mergeCell ref="D196:E196"/>
    <mergeCell ref="D200:E200"/>
    <mergeCell ref="D209:E209"/>
    <mergeCell ref="D173:E173"/>
    <mergeCell ref="D206:E206"/>
    <mergeCell ref="D187:E187"/>
    <mergeCell ref="A32:F32"/>
    <mergeCell ref="D136:E136"/>
    <mergeCell ref="D137:E137"/>
    <mergeCell ref="D130:E130"/>
    <mergeCell ref="D131:E131"/>
    <mergeCell ref="D126:E126"/>
    <mergeCell ref="D127:E127"/>
    <mergeCell ref="D128:E128"/>
    <mergeCell ref="D129:E129"/>
    <mergeCell ref="D119:E119"/>
    <mergeCell ref="D138:E138"/>
    <mergeCell ref="D134:E134"/>
    <mergeCell ref="D135:E135"/>
    <mergeCell ref="D132:E132"/>
    <mergeCell ref="D133:E133"/>
    <mergeCell ref="D124:E124"/>
    <mergeCell ref="D125:E125"/>
    <mergeCell ref="D114:E114"/>
    <mergeCell ref="D118:E118"/>
    <mergeCell ref="D113:E113"/>
    <mergeCell ref="D107:E107"/>
    <mergeCell ref="D108:E108"/>
    <mergeCell ref="D109:E109"/>
    <mergeCell ref="D97:E97"/>
    <mergeCell ref="D98:E98"/>
    <mergeCell ref="D99:E99"/>
    <mergeCell ref="D96:E96"/>
    <mergeCell ref="D39:E39"/>
    <mergeCell ref="D40:E40"/>
    <mergeCell ref="D42:E42"/>
    <mergeCell ref="D43:E43"/>
    <mergeCell ref="D58:E58"/>
    <mergeCell ref="D55:E55"/>
    <mergeCell ref="D48:E48"/>
    <mergeCell ref="D49:E49"/>
    <mergeCell ref="D56:E56"/>
    <mergeCell ref="D57:E57"/>
    <mergeCell ref="D44:E44"/>
    <mergeCell ref="D45:E45"/>
    <mergeCell ref="D46:E46"/>
    <mergeCell ref="D47:E47"/>
  </mergeCells>
  <phoneticPr fontId="11" type="noConversion"/>
  <conditionalFormatting sqref="A23:B24">
    <cfRule type="expression" dxfId="12" priority="1" stopIfTrue="1">
      <formula>IF(D15="Final Design",TRUE,FALSE)</formula>
    </cfRule>
    <cfRule type="expression" dxfId="11" priority="2" stopIfTrue="1">
      <formula>IF(D15="Programming/Customer Concept Document",TRUE,FALSE)</formula>
    </cfRule>
    <cfRule type="expression" dxfId="10" priority="3" stopIfTrue="1">
      <formula>IF(D15="Design Charette",TRUE,FALSE)</formula>
    </cfRule>
  </conditionalFormatting>
  <conditionalFormatting sqref="A149:A152 A39:A52 A194:A196 A141:A146 D169:D170 A173 A124:A138 D175:D176 D179:D180 A113:A114 A204:A212 A56:A58 A164:A165 A118:A119 A96:A99 A107:A109 A200:A201 D198:D199 A192 A215:A220">
    <cfRule type="cellIs" dxfId="9" priority="4" stopIfTrue="1" operator="equal">
      <formula>"Yes"</formula>
    </cfRule>
    <cfRule type="cellIs" dxfId="8" priority="5" stopIfTrue="1" operator="equal">
      <formula>"No"</formula>
    </cfRule>
    <cfRule type="cellIs" dxfId="7" priority="6" stopIfTrue="1" operator="equal">
      <formula>"Maybe"</formula>
    </cfRule>
  </conditionalFormatting>
  <conditionalFormatting sqref="A168 A183 A178 A174 A197">
    <cfRule type="cellIs" dxfId="6" priority="7" stopIfTrue="1" operator="equal">
      <formula>"Yes"</formula>
    </cfRule>
  </conditionalFormatting>
  <conditionalFormatting sqref="D184:D186">
    <cfRule type="cellIs" dxfId="5" priority="8" stopIfTrue="1" operator="equal">
      <formula>"Yes"</formula>
    </cfRule>
    <cfRule type="cellIs" dxfId="4" priority="9" stopIfTrue="1" operator="equal">
      <formula>"No"</formula>
    </cfRule>
    <cfRule type="cellIs" dxfId="3" priority="10" stopIfTrue="1" operator="equal">
      <formula>"N/A"</formula>
    </cfRule>
  </conditionalFormatting>
  <conditionalFormatting sqref="A38 A55 A65:A67 A102 A122:A123">
    <cfRule type="cellIs" dxfId="2" priority="11" stopIfTrue="1" operator="equal">
      <formula>"Yes"</formula>
    </cfRule>
    <cfRule type="cellIs" dxfId="1" priority="12" stopIfTrue="1" operator="equal">
      <formula>"No"</formula>
    </cfRule>
    <cfRule type="cellIs" dxfId="0" priority="13" stopIfTrue="1" operator="equal">
      <formula>"Maybe"</formula>
    </cfRule>
  </conditionalFormatting>
  <dataValidations count="19">
    <dataValidation type="whole" allowBlank="1" showInputMessage="1" showErrorMessage="1" errorTitle="Check Project Phase and Value" error="This cell cannot be completed unless the project phase is Beneficial Occupancy. Only whole numbers can be inserted." promptTitle="Notice!" prompt="Only enter data on GBCI certification if project is in Beneficial Occupancy phase" sqref="D23">
      <formula1>IF(D15="Beneficial Occupancy",0,FALSE)</formula1>
      <formula2>IF(D15="Beneficial Occupancy",200,FALSE)</formula2>
    </dataValidation>
    <dataValidation type="list" allowBlank="1" showInputMessage="1" showErrorMessage="1" errorTitle="Check Project Phase" error="This cell cannot be completed unless the project phase is Beneficial Occupancy" promptTitle="Notice!" prompt="Only enter data on GBCI certification if project is in Beneficial Occupancy phase" sqref="D24">
      <formula1>IF(D15="Beneficial Occupancy",Levels,FALSE)</formula1>
    </dataValidation>
    <dataValidation type="list" allowBlank="1" showInputMessage="1" showErrorMessage="1" sqref="D175:D176 A141:A146 A149:A152 A107:A109 A204:A212 D198:D199 A55:A58 A96:A99 A173 D169:D170 A38:A52 A215:A220 A118:A119 A164:A165 A102 A65:A67 A113:A114 D172 A187:A189 D179:D180 A200:A201 A194:A196 A122:A138">
      <formula1>"Yes,Maybe,No"</formula1>
    </dataValidation>
    <dataValidation type="decimal" allowBlank="1" showInputMessage="1" showErrorMessage="1" errorTitle="Numbers only" error="Insert numerical value only" sqref="D181">
      <formula1>0</formula1>
      <formula2>100000</formula2>
    </dataValidation>
    <dataValidation type="decimal" allowBlank="1" showInputMessage="1" showErrorMessage="1" errorTitle="Numbers only" error="Insert percentage as a decimal" sqref="D182 D171 D177 D193">
      <formula1>0</formula1>
      <formula2>1</formula2>
    </dataValidation>
    <dataValidation type="list" allowBlank="1" showInputMessage="1" showErrorMessage="1" sqref="D184:D186">
      <formula1>"Yes,No,N/A"</formula1>
    </dataValidation>
    <dataValidation type="list" allowBlank="1" showInputMessage="1" showErrorMessage="1" sqref="A103">
      <formula1>"0,1,2,3"</formula1>
    </dataValidation>
    <dataValidation type="list" allowBlank="1" showInputMessage="1" showErrorMessage="1" sqref="A110 A115">
      <formula1>"0,1,2"</formula1>
    </dataValidation>
    <dataValidation type="list" allowBlank="1" showInputMessage="1" showErrorMessage="1" sqref="A68">
      <formula1>"0,1,2,3,4,5,6,7,8,9,10,11,12,13,14,15,16,17,18,19"</formula1>
    </dataValidation>
    <dataValidation type="list" allowBlank="1" showInputMessage="1" showErrorMessage="1" sqref="A88">
      <formula1>"0,1,2,3,4,5,6,7"</formula1>
    </dataValidation>
    <dataValidation type="list" allowBlank="1" showInputMessage="1" showErrorMessage="1" sqref="A59">
      <formula1>"0,2,3,4"</formula1>
    </dataValidation>
    <dataValidation type="list" allowBlank="1" showInputMessage="1" showErrorMessage="1" sqref="D11">
      <formula1>"Air Combat Command,Air Education &amp; Training Command,Air Force Global Strike Command,Air Force Materiel Command,Air Force Space Command,Air Force Special Operations Command,Air Mobility Command,Pacific Air Forces,US Air Forces in Europe,Other"</formula1>
    </dataValidation>
    <dataValidation type="whole" allowBlank="1" showInputMessage="1" showErrorMessage="1" errorTitle="Digits restricted" error="Use the full fiscal year (e.g. 2010)" sqref="D14 D16">
      <formula1>1900</formula1>
      <formula2>2999</formula2>
    </dataValidation>
    <dataValidation type="list" allowBlank="1" showInputMessage="1" showErrorMessage="1" sqref="D18">
      <formula1>"Yes, No"</formula1>
    </dataValidation>
    <dataValidation type="list" allowBlank="1" showInputMessage="1" showErrorMessage="1" sqref="D7">
      <formula1>Installation</formula1>
    </dataValidation>
    <dataValidation type="decimal" operator="greaterThanOrEqual" allowBlank="1" showInputMessage="1" showErrorMessage="1" errorTitle="Non-numerical value" error="This cell only allows numerical values" sqref="D12:D13">
      <formula1>0</formula1>
    </dataValidation>
    <dataValidation type="date" allowBlank="1" showInputMessage="1" showErrorMessage="1" errorTitle="Date format" error="Use date format: MM/DD/YY" sqref="D25 D17 D19">
      <formula1>1</formula1>
      <formula2>401768</formula2>
    </dataValidation>
    <dataValidation type="list" allowBlank="1" showInputMessage="1" showErrorMessage="1" sqref="D6">
      <formula1>"Vertical With Climate Control,Minor Construction,Major Renovation and Addition,Horizontal,Utilities,Industrial"</formula1>
    </dataValidation>
    <dataValidation type="list" allowBlank="1" showInputMessage="1" showErrorMessage="1" sqref="D15">
      <formula1>"Programming/Customer Concept Document,Design Charette,Final Design,Beneficial Occupancy"</formula1>
    </dataValidation>
  </dataValidations>
  <pageMargins left="0.36" right="0.36" top="0.71" bottom="0.69" header="0.36" footer="0.32"/>
  <pageSetup scale="85" orientation="portrait" r:id="rId1"/>
  <headerFooter alignWithMargins="0">
    <oddFooter>&amp;L&amp;D&amp;C&amp;P</oddFooter>
  </headerFooter>
  <rowBreaks count="3" manualBreakCount="3">
    <brk id="62" max="5" man="1"/>
    <brk id="119" max="5" man="1"/>
    <brk id="172" max="5" man="1"/>
  </rowBreaks>
</worksheet>
</file>

<file path=xl/worksheets/sheet2.xml><?xml version="1.0" encoding="utf-8"?>
<worksheet xmlns="http://schemas.openxmlformats.org/spreadsheetml/2006/main" xmlns:r="http://schemas.openxmlformats.org/officeDocument/2006/relationships">
  <dimension ref="A1:C139"/>
  <sheetViews>
    <sheetView zoomScale="85" zoomScaleNormal="85" workbookViewId="0">
      <selection activeCell="B3" sqref="B3"/>
    </sheetView>
  </sheetViews>
  <sheetFormatPr defaultRowHeight="12.75"/>
  <cols>
    <col min="1" max="1" width="26.42578125" style="115" customWidth="1"/>
    <col min="2" max="2" width="68.7109375" style="146" customWidth="1"/>
    <col min="3" max="3" width="22.28515625" style="195" customWidth="1"/>
    <col min="4" max="16384" width="9.140625" style="146"/>
  </cols>
  <sheetData>
    <row r="1" spans="1:3" s="112" customFormat="1">
      <c r="A1" s="262" t="s">
        <v>511</v>
      </c>
      <c r="B1" s="111"/>
      <c r="C1" s="196" t="s">
        <v>457</v>
      </c>
    </row>
    <row r="2" spans="1:3" s="48" customFormat="1" ht="33.75">
      <c r="A2" s="139"/>
      <c r="B2" s="140" t="s">
        <v>221</v>
      </c>
      <c r="C2" s="197" t="s">
        <v>222</v>
      </c>
    </row>
    <row r="3" spans="1:3" s="48" customFormat="1" ht="51">
      <c r="A3" s="141"/>
      <c r="B3" s="48" t="s">
        <v>224</v>
      </c>
      <c r="C3" s="198" t="s">
        <v>268</v>
      </c>
    </row>
    <row r="4" spans="1:3" s="112" customFormat="1" ht="76.5">
      <c r="A4" s="142" t="s">
        <v>223</v>
      </c>
      <c r="B4" s="117" t="s">
        <v>541</v>
      </c>
      <c r="C4" s="199"/>
    </row>
    <row r="5" spans="1:3" s="112" customFormat="1" ht="63.75">
      <c r="A5" s="143"/>
      <c r="B5" s="116" t="s">
        <v>542</v>
      </c>
      <c r="C5" s="200"/>
    </row>
    <row r="6" spans="1:3" s="112" customFormat="1">
      <c r="A6" s="144"/>
      <c r="B6" s="118" t="s">
        <v>449</v>
      </c>
      <c r="C6" s="201"/>
    </row>
    <row r="7" spans="1:3">
      <c r="A7" s="114"/>
      <c r="B7" s="145" t="s">
        <v>228</v>
      </c>
      <c r="C7" s="202"/>
    </row>
    <row r="8" spans="1:3" ht="127.5">
      <c r="A8" s="147" t="str">
        <f>HYPERLINK("#"&amp;"HPSBI.1","HPSB I.1: Integrated Design")</f>
        <v>HPSB I.1: Integrated Design</v>
      </c>
      <c r="B8" s="140" t="s">
        <v>347</v>
      </c>
      <c r="C8" s="203" t="s">
        <v>359</v>
      </c>
    </row>
    <row r="9" spans="1:3">
      <c r="A9" s="148" t="s">
        <v>508</v>
      </c>
      <c r="B9" s="58" t="s">
        <v>467</v>
      </c>
      <c r="C9" s="204"/>
    </row>
    <row r="10" spans="1:3" ht="24">
      <c r="A10" s="149" t="s">
        <v>509</v>
      </c>
      <c r="B10" s="58" t="s">
        <v>468</v>
      </c>
      <c r="C10" s="205"/>
    </row>
    <row r="11" spans="1:3">
      <c r="A11" s="150" t="s">
        <v>510</v>
      </c>
      <c r="B11" s="58" t="s">
        <v>468</v>
      </c>
      <c r="C11" s="205"/>
    </row>
    <row r="12" spans="1:3" ht="89.25">
      <c r="A12" s="147" t="str">
        <f>HYPERLINK("#"&amp;"HPSBI.2","HPSB I.2: Commissioning")</f>
        <v>HPSB I.2: Commissioning</v>
      </c>
      <c r="B12" s="151" t="s">
        <v>346</v>
      </c>
      <c r="C12" s="206" t="s">
        <v>359</v>
      </c>
    </row>
    <row r="13" spans="1:3">
      <c r="A13" s="148" t="s">
        <v>508</v>
      </c>
      <c r="B13" s="58" t="s">
        <v>467</v>
      </c>
      <c r="C13" s="204"/>
    </row>
    <row r="14" spans="1:3" ht="38.25">
      <c r="A14" s="297" t="str">
        <f>HYPERLINK("#"&amp;"EAPR1","LEED Credit(s) aligns closely with HPSB:")</f>
        <v>LEED Credit(s) aligns closely with HPSB:</v>
      </c>
      <c r="B14" s="58" t="s">
        <v>517</v>
      </c>
      <c r="C14" s="198" t="s">
        <v>268</v>
      </c>
    </row>
    <row r="15" spans="1:3">
      <c r="A15" s="155" t="s">
        <v>510</v>
      </c>
      <c r="B15" s="110" t="s">
        <v>468</v>
      </c>
      <c r="C15" s="207"/>
    </row>
    <row r="16" spans="1:3">
      <c r="A16" s="114"/>
      <c r="B16" s="145" t="s">
        <v>230</v>
      </c>
      <c r="C16" s="202"/>
    </row>
    <row r="17" spans="1:3" ht="204">
      <c r="A17" s="147" t="str">
        <f>HYPERLINK("#"&amp;"HPSBII.1","HPSB II.1: Energy Efficiency.")</f>
        <v>HPSB II.1: Energy Efficiency.</v>
      </c>
      <c r="B17" s="151" t="s">
        <v>345</v>
      </c>
      <c r="C17" s="203" t="s">
        <v>359</v>
      </c>
    </row>
    <row r="18" spans="1:3">
      <c r="A18" s="148" t="s">
        <v>508</v>
      </c>
      <c r="B18" s="58" t="s">
        <v>469</v>
      </c>
      <c r="C18" s="208" t="s">
        <v>470</v>
      </c>
    </row>
    <row r="19" spans="1:3" ht="33.75">
      <c r="A19" s="297" t="str">
        <f>HYPERLINK("#"&amp;"EAPR2","LEED Credit(s) aligns closely with HPSB:")</f>
        <v>LEED Credit(s) aligns closely with HPSB:</v>
      </c>
      <c r="B19" s="58" t="s">
        <v>518</v>
      </c>
      <c r="C19" s="198" t="s">
        <v>268</v>
      </c>
    </row>
    <row r="20" spans="1:3">
      <c r="A20" s="155" t="s">
        <v>510</v>
      </c>
      <c r="B20" s="110" t="s">
        <v>468</v>
      </c>
      <c r="C20" s="207"/>
    </row>
    <row r="21" spans="1:3" ht="63.75">
      <c r="A21" s="147" t="str">
        <f>HYPERLINK("#"&amp;"HPSBII.2","HPSB II.2: Preferential use of ENERGY STAR or FEMP-designated equipment, when lifecycle cost effective")</f>
        <v>HPSB II.2: Preferential use of ENERGY STAR or FEMP-designated equipment, when lifecycle cost effective</v>
      </c>
      <c r="B21" s="140" t="s">
        <v>344</v>
      </c>
      <c r="C21" s="203" t="s">
        <v>359</v>
      </c>
    </row>
    <row r="22" spans="1:3">
      <c r="A22" s="148" t="s">
        <v>508</v>
      </c>
      <c r="B22" s="58" t="s">
        <v>467</v>
      </c>
      <c r="C22" s="209"/>
    </row>
    <row r="23" spans="1:3" ht="24">
      <c r="A23" s="149" t="s">
        <v>509</v>
      </c>
      <c r="B23" s="58" t="s">
        <v>468</v>
      </c>
      <c r="C23" s="204"/>
    </row>
    <row r="24" spans="1:3">
      <c r="A24" s="155" t="s">
        <v>510</v>
      </c>
      <c r="B24" s="110" t="s">
        <v>468</v>
      </c>
      <c r="C24" s="207"/>
    </row>
    <row r="25" spans="1:3" ht="38.25">
      <c r="A25" s="147" t="str">
        <f>HYPERLINK("#"&amp;"HPSBII.3","HPSB II.3: On-site Renewable Energy - Solar Hot Water Heater System")</f>
        <v>HPSB II.3: On-site Renewable Energy - Solar Hot Water Heater System</v>
      </c>
      <c r="B25" s="140" t="s">
        <v>343</v>
      </c>
      <c r="C25" s="203" t="s">
        <v>359</v>
      </c>
    </row>
    <row r="26" spans="1:3" ht="22.5">
      <c r="A26" s="148" t="s">
        <v>508</v>
      </c>
      <c r="B26" s="58" t="s">
        <v>370</v>
      </c>
      <c r="C26" s="209" t="s">
        <v>265</v>
      </c>
    </row>
    <row r="27" spans="1:3" ht="24">
      <c r="A27" s="149" t="s">
        <v>509</v>
      </c>
      <c r="B27" s="58" t="s">
        <v>468</v>
      </c>
      <c r="C27" s="204"/>
    </row>
    <row r="28" spans="1:3">
      <c r="A28" s="150" t="s">
        <v>510</v>
      </c>
      <c r="B28" s="110" t="s">
        <v>468</v>
      </c>
      <c r="C28" s="207"/>
    </row>
    <row r="29" spans="1:3" ht="25.5">
      <c r="A29" s="147" t="str">
        <f>HYPERLINK("#"&amp;"HPSBII.4","HPSB II.4: On-site Renewable Energy")</f>
        <v>HPSB II.4: On-site Renewable Energy</v>
      </c>
      <c r="B29" s="152" t="s">
        <v>342</v>
      </c>
      <c r="C29" s="203" t="s">
        <v>359</v>
      </c>
    </row>
    <row r="30" spans="1:3">
      <c r="A30" s="148" t="s">
        <v>508</v>
      </c>
      <c r="B30" s="58" t="s">
        <v>467</v>
      </c>
      <c r="C30" s="204"/>
    </row>
    <row r="31" spans="1:3" ht="33.75">
      <c r="A31" s="297" t="str">
        <f>HYPERLINK("#"&amp;"EA2.1","LEED Credit(s) aligns closely with HPSB:")</f>
        <v>LEED Credit(s) aligns closely with HPSB:</v>
      </c>
      <c r="B31" s="58" t="s">
        <v>519</v>
      </c>
      <c r="C31" s="198" t="s">
        <v>268</v>
      </c>
    </row>
    <row r="32" spans="1:3">
      <c r="A32" s="150" t="s">
        <v>510</v>
      </c>
      <c r="B32" s="110" t="s">
        <v>468</v>
      </c>
      <c r="C32" s="210"/>
    </row>
    <row r="33" spans="1:3" ht="63.75">
      <c r="A33" s="147" t="str">
        <f>HYPERLINK("#"&amp;"HPSBII.5","HPSB II.5: Measurement and Verification - Advanced Metering")</f>
        <v>HPSB II.5: Measurement and Verification - Advanced Metering</v>
      </c>
      <c r="B33" s="140" t="s">
        <v>340</v>
      </c>
      <c r="C33" s="203" t="s">
        <v>359</v>
      </c>
    </row>
    <row r="34" spans="1:3" ht="25.5">
      <c r="A34" s="148" t="s">
        <v>508</v>
      </c>
      <c r="B34" s="48" t="s">
        <v>341</v>
      </c>
      <c r="C34" s="209" t="s">
        <v>266</v>
      </c>
    </row>
    <row r="35" spans="1:3" ht="33.75">
      <c r="A35" s="297" t="str">
        <f>HYPERLINK("#"&amp;"EA5.1","LEED Credit(s) aligns closely with HPSB:")</f>
        <v>LEED Credit(s) aligns closely with HPSB:</v>
      </c>
      <c r="B35" s="48" t="s">
        <v>520</v>
      </c>
      <c r="C35" s="198" t="s">
        <v>268</v>
      </c>
    </row>
    <row r="36" spans="1:3">
      <c r="A36" s="150" t="s">
        <v>510</v>
      </c>
      <c r="B36" s="153" t="s">
        <v>468</v>
      </c>
      <c r="C36" s="207"/>
    </row>
    <row r="37" spans="1:3" ht="51">
      <c r="A37" s="154" t="str">
        <f>HYPERLINK("#"&amp;"HPSBII.6","HPSB II.6: Project Case Study Entered in High Performance Federal Buildings Database")</f>
        <v>HPSB II.6: Project Case Study Entered in High Performance Federal Buildings Database</v>
      </c>
      <c r="B37" s="151" t="s">
        <v>471</v>
      </c>
      <c r="C37" s="206" t="s">
        <v>458</v>
      </c>
    </row>
    <row r="38" spans="1:3">
      <c r="A38" s="148" t="s">
        <v>508</v>
      </c>
      <c r="B38" s="58" t="s">
        <v>467</v>
      </c>
      <c r="C38" s="211"/>
    </row>
    <row r="39" spans="1:3" ht="24">
      <c r="A39" s="149" t="s">
        <v>509</v>
      </c>
      <c r="B39" s="112" t="s">
        <v>468</v>
      </c>
      <c r="C39" s="211"/>
    </row>
    <row r="40" spans="1:3">
      <c r="A40" s="150" t="s">
        <v>510</v>
      </c>
      <c r="B40" s="110" t="s">
        <v>468</v>
      </c>
      <c r="C40" s="212"/>
    </row>
    <row r="41" spans="1:3" ht="89.25">
      <c r="A41" s="154" t="str">
        <f>HYPERLINK("#"&amp;"OtherII.7","Other II.7: Reduction in fossil fuel-generated energy consumption")</f>
        <v>Other II.7: Reduction in fossil fuel-generated energy consumption</v>
      </c>
      <c r="B41" s="151" t="s">
        <v>478</v>
      </c>
      <c r="C41" s="206" t="s">
        <v>265</v>
      </c>
    </row>
    <row r="42" spans="1:3">
      <c r="A42" s="148" t="s">
        <v>508</v>
      </c>
      <c r="B42" s="58" t="s">
        <v>368</v>
      </c>
      <c r="C42" s="213"/>
    </row>
    <row r="43" spans="1:3" ht="24">
      <c r="A43" s="149" t="s">
        <v>509</v>
      </c>
      <c r="B43" s="58" t="s">
        <v>468</v>
      </c>
      <c r="C43" s="213"/>
    </row>
    <row r="44" spans="1:3">
      <c r="A44" s="150" t="s">
        <v>510</v>
      </c>
      <c r="B44" s="153" t="s">
        <v>468</v>
      </c>
      <c r="C44" s="212"/>
    </row>
    <row r="45" spans="1:3" ht="51">
      <c r="A45" s="154" t="str">
        <f>HYPERLINK("#"&amp;"OtherII.8","Other II.8: Data Center Energy Consumption")</f>
        <v>Other II.8: Data Center Energy Consumption</v>
      </c>
      <c r="B45" s="151" t="s">
        <v>547</v>
      </c>
      <c r="C45" s="206" t="s">
        <v>265</v>
      </c>
    </row>
    <row r="46" spans="1:3">
      <c r="A46" s="148" t="s">
        <v>508</v>
      </c>
      <c r="B46" s="58" t="s">
        <v>369</v>
      </c>
      <c r="C46" s="213"/>
    </row>
    <row r="47" spans="1:3" ht="24">
      <c r="A47" s="149" t="s">
        <v>509</v>
      </c>
      <c r="B47" s="112" t="s">
        <v>468</v>
      </c>
      <c r="C47" s="213"/>
    </row>
    <row r="48" spans="1:3">
      <c r="A48" s="155" t="s">
        <v>510</v>
      </c>
      <c r="B48" s="153" t="s">
        <v>468</v>
      </c>
      <c r="C48" s="212"/>
    </row>
    <row r="49" spans="1:3">
      <c r="A49" s="114"/>
      <c r="B49" s="145" t="s">
        <v>238</v>
      </c>
      <c r="C49" s="202"/>
    </row>
    <row r="50" spans="1:3" ht="102">
      <c r="A50" s="147" t="str">
        <f>HYPERLINK("#"&amp;"HPSBIII.1","HPSB III.1: Indoor Water - 20% Reduction")</f>
        <v>HPSB III.1: Indoor Water - 20% Reduction</v>
      </c>
      <c r="B50" s="151" t="s">
        <v>339</v>
      </c>
      <c r="C50" s="206" t="s">
        <v>359</v>
      </c>
    </row>
    <row r="51" spans="1:3">
      <c r="A51" s="148" t="s">
        <v>508</v>
      </c>
      <c r="B51" s="58" t="s">
        <v>472</v>
      </c>
      <c r="C51" s="208" t="s">
        <v>473</v>
      </c>
    </row>
    <row r="52" spans="1:3" ht="25.5">
      <c r="A52" s="297" t="str">
        <f>HYPERLINK("#"&amp;"WE3.1","LEED Credit(s) aligns closely with HPSB:")</f>
        <v>LEED Credit(s) aligns closely with HPSB:</v>
      </c>
      <c r="B52" s="58" t="s">
        <v>534</v>
      </c>
      <c r="C52" s="204"/>
    </row>
    <row r="53" spans="1:3" ht="33.75">
      <c r="A53" s="301" t="str">
        <f>HYPERLINK("#"&amp;"WEPR1","LEED Credit(s) meet HPSB:")</f>
        <v>LEED Credit(s) meet HPSB:</v>
      </c>
      <c r="B53" s="110" t="s">
        <v>533</v>
      </c>
      <c r="C53" s="214" t="s">
        <v>268</v>
      </c>
    </row>
    <row r="54" spans="1:3" ht="63.75">
      <c r="A54" s="147" t="str">
        <f>HYPERLINK("#"&amp;"HPSBIII.2","HPSB III.2: Outdoor Water - Reduce Potable Water Use by 50%")</f>
        <v>HPSB III.2: Outdoor Water - Reduce Potable Water Use by 50%</v>
      </c>
      <c r="B54" s="152" t="s">
        <v>338</v>
      </c>
      <c r="C54" s="206" t="s">
        <v>359</v>
      </c>
    </row>
    <row r="55" spans="1:3">
      <c r="A55" s="148" t="s">
        <v>508</v>
      </c>
      <c r="B55" s="58" t="s">
        <v>467</v>
      </c>
      <c r="C55" s="211"/>
    </row>
    <row r="56" spans="1:3" ht="25.5">
      <c r="A56" s="297" t="str">
        <f>HYPERLINK("#"&amp;"WE1.2","LEED Credit(s) aligns closely with HPSB:")</f>
        <v>LEED Credit(s) aligns closely with HPSB:</v>
      </c>
      <c r="B56" s="58" t="s">
        <v>536</v>
      </c>
      <c r="C56" s="204"/>
    </row>
    <row r="57" spans="1:3" ht="33.75">
      <c r="A57" s="301" t="str">
        <f>HYPERLINK("#"&amp;"WE1.1","LEED Credit(s) meet HPSB:")</f>
        <v>LEED Credit(s) meet HPSB:</v>
      </c>
      <c r="B57" s="110" t="s">
        <v>535</v>
      </c>
      <c r="C57" s="214" t="s">
        <v>268</v>
      </c>
    </row>
    <row r="58" spans="1:3" ht="25.5">
      <c r="A58" s="147" t="str">
        <f>HYPERLINK("#"&amp;"HPSBIII.3","HPSB III.3: Outdoor Water - Stormwater runoff")</f>
        <v>HPSB III.3: Outdoor Water - Stormwater runoff</v>
      </c>
      <c r="B58" s="152" t="s">
        <v>337</v>
      </c>
      <c r="C58" s="206" t="s">
        <v>359</v>
      </c>
    </row>
    <row r="59" spans="1:3" ht="33.75">
      <c r="A59" s="148" t="s">
        <v>508</v>
      </c>
      <c r="B59" s="58" t="s">
        <v>358</v>
      </c>
      <c r="C59" s="211" t="s">
        <v>360</v>
      </c>
    </row>
    <row r="60" spans="1:3" ht="24">
      <c r="A60" s="149" t="s">
        <v>509</v>
      </c>
      <c r="B60" s="156" t="s">
        <v>468</v>
      </c>
      <c r="C60" s="215"/>
    </row>
    <row r="61" spans="1:3" ht="33.75">
      <c r="A61" s="304" t="str">
        <f>HYPERLINK("#"&amp;"SSPR1","LEED Credit(s) meet HPSB:")</f>
        <v>LEED Credit(s) meet HPSB:</v>
      </c>
      <c r="B61" s="58" t="s">
        <v>521</v>
      </c>
      <c r="C61" s="198" t="s">
        <v>268</v>
      </c>
    </row>
    <row r="62" spans="1:3" ht="63.75">
      <c r="A62" s="147" t="str">
        <f>HYPERLINK("#"&amp;"HPSBIII.4","HPSB III.4: Outdoor Water - Achieve Pre-Development Hydrology when technically feasible, when disturbance &gt; 5,000 GSF")</f>
        <v>HPSB III.4: Outdoor Water - Achieve Pre-Development Hydrology when technically feasible, when disturbance &gt; 5,000 GSF</v>
      </c>
      <c r="B62" s="152" t="s">
        <v>336</v>
      </c>
      <c r="C62" s="206" t="s">
        <v>359</v>
      </c>
    </row>
    <row r="63" spans="1:3">
      <c r="A63" s="148" t="s">
        <v>508</v>
      </c>
      <c r="B63" s="58" t="s">
        <v>474</v>
      </c>
      <c r="C63" s="211" t="s">
        <v>463</v>
      </c>
    </row>
    <row r="64" spans="1:3" ht="33.75">
      <c r="A64" s="297" t="str">
        <f>HYPERLINK("#"&amp;"SS6.2","LEED Credit(s) aligns closely with HPSB:")</f>
        <v>LEED Credit(s) aligns closely with HPSB:</v>
      </c>
      <c r="B64" s="156" t="s">
        <v>538</v>
      </c>
      <c r="C64" s="198" t="s">
        <v>268</v>
      </c>
    </row>
    <row r="65" spans="1:3">
      <c r="A65" s="302" t="s">
        <v>510</v>
      </c>
      <c r="B65" s="110"/>
      <c r="C65" s="214"/>
    </row>
    <row r="66" spans="1:3" ht="38.25">
      <c r="A66" s="303" t="str">
        <f>HYPERLINK("#"&amp;"HPSBIII.5","HPSB III.5: Process water - potable water use")</f>
        <v>HPSB III.5: Process water - potable water use</v>
      </c>
      <c r="B66" s="48" t="s">
        <v>335</v>
      </c>
      <c r="C66" s="211" t="s">
        <v>359</v>
      </c>
    </row>
    <row r="67" spans="1:3">
      <c r="A67" s="148" t="s">
        <v>508</v>
      </c>
      <c r="B67" s="58" t="s">
        <v>371</v>
      </c>
      <c r="C67" s="211" t="s">
        <v>266</v>
      </c>
    </row>
    <row r="68" spans="1:3" ht="24">
      <c r="A68" s="149" t="s">
        <v>509</v>
      </c>
      <c r="B68" s="58" t="s">
        <v>468</v>
      </c>
      <c r="C68" s="204"/>
    </row>
    <row r="69" spans="1:3">
      <c r="A69" s="155" t="s">
        <v>510</v>
      </c>
      <c r="B69" s="153" t="s">
        <v>468</v>
      </c>
      <c r="C69" s="207"/>
    </row>
    <row r="70" spans="1:3" ht="25.5">
      <c r="A70" s="147" t="str">
        <f>HYPERLINK("#"&amp;"HPSBIII.6","HPSB III.6: Water-Efficient Products")</f>
        <v>HPSB III.6: Water-Efficient Products</v>
      </c>
      <c r="B70" s="140" t="s">
        <v>334</v>
      </c>
      <c r="C70" s="206" t="s">
        <v>359</v>
      </c>
    </row>
    <row r="71" spans="1:3">
      <c r="A71" s="148" t="s">
        <v>508</v>
      </c>
      <c r="B71" s="48" t="s">
        <v>467</v>
      </c>
      <c r="C71" s="211"/>
    </row>
    <row r="72" spans="1:3" ht="24">
      <c r="A72" s="149" t="s">
        <v>509</v>
      </c>
      <c r="B72" s="48" t="s">
        <v>468</v>
      </c>
      <c r="C72" s="211"/>
    </row>
    <row r="73" spans="1:3">
      <c r="A73" s="155" t="s">
        <v>510</v>
      </c>
      <c r="B73" s="110" t="s">
        <v>468</v>
      </c>
      <c r="C73" s="212"/>
    </row>
    <row r="74" spans="1:3" ht="38.25">
      <c r="A74" s="147" t="str">
        <f>HYPERLINK("#"&amp;"HPSBIII.7","HPSB III.7: Water Efficient Products - Irrigation Contractors")</f>
        <v>HPSB III.7: Water Efficient Products - Irrigation Contractors</v>
      </c>
      <c r="B74" s="140" t="s">
        <v>333</v>
      </c>
      <c r="C74" s="206" t="s">
        <v>359</v>
      </c>
    </row>
    <row r="75" spans="1:3">
      <c r="A75" s="148" t="s">
        <v>508</v>
      </c>
      <c r="B75" s="48" t="s">
        <v>467</v>
      </c>
      <c r="C75" s="211"/>
    </row>
    <row r="76" spans="1:3" ht="24">
      <c r="A76" s="149" t="s">
        <v>509</v>
      </c>
      <c r="B76" s="48" t="s">
        <v>468</v>
      </c>
      <c r="C76" s="211"/>
    </row>
    <row r="77" spans="1:3">
      <c r="A77" s="155" t="s">
        <v>510</v>
      </c>
      <c r="B77" s="110" t="s">
        <v>468</v>
      </c>
      <c r="C77" s="212"/>
    </row>
    <row r="78" spans="1:3">
      <c r="A78" s="114"/>
      <c r="B78" s="145" t="s">
        <v>246</v>
      </c>
      <c r="C78" s="202"/>
    </row>
    <row r="79" spans="1:3" ht="25.5">
      <c r="A79" s="147" t="str">
        <f>HYPERLINK("#"&amp;"HPSBIV.1","HPSB IV.1: Ventilation: ASHRAE 62.1-2007")</f>
        <v>HPSB IV.1: Ventilation: ASHRAE 62.1-2007</v>
      </c>
      <c r="B79" s="152" t="s">
        <v>332</v>
      </c>
      <c r="C79" s="206" t="s">
        <v>359</v>
      </c>
    </row>
    <row r="80" spans="1:3">
      <c r="A80" s="148" t="s">
        <v>508</v>
      </c>
      <c r="B80" s="58" t="s">
        <v>467</v>
      </c>
      <c r="C80" s="211"/>
    </row>
    <row r="81" spans="1:3" ht="24">
      <c r="A81" s="149" t="s">
        <v>509</v>
      </c>
      <c r="B81" s="58" t="s">
        <v>468</v>
      </c>
      <c r="C81" s="204"/>
    </row>
    <row r="82" spans="1:3" ht="33.75">
      <c r="A82" s="301" t="str">
        <f>HYPERLINK("#"&amp;"EQPR1","LEED Credit(s) meet HPSB:")</f>
        <v>LEED Credit(s) meet HPSB:</v>
      </c>
      <c r="B82" s="157" t="s">
        <v>522</v>
      </c>
      <c r="C82" s="214" t="s">
        <v>268</v>
      </c>
    </row>
    <row r="83" spans="1:3" ht="38.25">
      <c r="A83" s="147" t="str">
        <f>HYPERLINK("#"&amp;"HPSBIV.2","HPSB IV.2: Thermal Comfort, ASHRAE 55-2004")</f>
        <v>HPSB IV.2: Thermal Comfort, ASHRAE 55-2004</v>
      </c>
      <c r="B83" s="152" t="s">
        <v>331</v>
      </c>
      <c r="C83" s="206" t="s">
        <v>359</v>
      </c>
    </row>
    <row r="84" spans="1:3">
      <c r="A84" s="148" t="s">
        <v>508</v>
      </c>
      <c r="B84" s="58" t="s">
        <v>467</v>
      </c>
      <c r="C84" s="211"/>
    </row>
    <row r="85" spans="1:3" ht="24">
      <c r="A85" s="149" t="s">
        <v>509</v>
      </c>
      <c r="B85" s="58" t="s">
        <v>468</v>
      </c>
      <c r="C85" s="204"/>
    </row>
    <row r="86" spans="1:3" ht="33.75">
      <c r="A86" s="301" t="str">
        <f>HYPERLINK("#"&amp;"EQ7.1","LEED Credit(s) meet HPSB:")</f>
        <v>LEED Credit(s) meet HPSB:</v>
      </c>
      <c r="B86" s="157" t="s">
        <v>523</v>
      </c>
      <c r="C86" s="214" t="s">
        <v>268</v>
      </c>
    </row>
    <row r="87" spans="1:3" ht="63.75">
      <c r="A87" s="147" t="str">
        <f>HYPERLINK("#"&amp;"HPSBIV.3","HPSB IV.3: Moisture Control - Comply with ETL 04-3: Design Criteria for Prevention of Mold in Air Force Facilities")</f>
        <v>HPSB IV.3: Moisture Control - Comply with ETL 04-3: Design Criteria for Prevention of Mold in Air Force Facilities</v>
      </c>
      <c r="B87" s="152" t="s">
        <v>330</v>
      </c>
      <c r="C87" s="206" t="s">
        <v>359</v>
      </c>
    </row>
    <row r="88" spans="1:3">
      <c r="A88" s="148" t="s">
        <v>508</v>
      </c>
      <c r="B88" s="58" t="s">
        <v>475</v>
      </c>
      <c r="C88" s="209" t="s">
        <v>476</v>
      </c>
    </row>
    <row r="89" spans="1:3" ht="24">
      <c r="A89" s="149" t="s">
        <v>509</v>
      </c>
      <c r="B89" s="58" t="s">
        <v>468</v>
      </c>
      <c r="C89" s="216"/>
    </row>
    <row r="90" spans="1:3">
      <c r="A90" s="150" t="s">
        <v>510</v>
      </c>
      <c r="B90" s="58" t="s">
        <v>468</v>
      </c>
      <c r="C90" s="204"/>
    </row>
    <row r="91" spans="1:3" ht="25.5">
      <c r="A91" s="147" t="str">
        <f>HYPERLINK("#"&amp;"HPSBIV.4","HPSB IV.4: Daylighting - 75% of Spaces")</f>
        <v>HPSB IV.4: Daylighting - 75% of Spaces</v>
      </c>
      <c r="B91" s="152" t="s">
        <v>329</v>
      </c>
      <c r="C91" s="206" t="s">
        <v>359</v>
      </c>
    </row>
    <row r="92" spans="1:3">
      <c r="A92" s="148" t="s">
        <v>508</v>
      </c>
      <c r="B92" s="58" t="s">
        <v>467</v>
      </c>
      <c r="C92" s="204"/>
    </row>
    <row r="93" spans="1:3" ht="33.75">
      <c r="A93" s="297" t="str">
        <f>HYPERLINK("#"&amp;"EQ8.1","LEED Credit(s) aligns closely with HPSB:")</f>
        <v>LEED Credit(s) aligns closely with HPSB:</v>
      </c>
      <c r="B93" s="58" t="s">
        <v>524</v>
      </c>
      <c r="C93" s="198" t="s">
        <v>268</v>
      </c>
    </row>
    <row r="94" spans="1:3">
      <c r="A94" s="302" t="s">
        <v>510</v>
      </c>
      <c r="B94" s="157" t="s">
        <v>468</v>
      </c>
      <c r="C94" s="214"/>
    </row>
    <row r="95" spans="1:3" ht="25.5">
      <c r="A95" s="303" t="str">
        <f>HYPERLINK("#"&amp;"HPSBIV.5","HPSB IV.5: Daylighting - Controllability of Systems")</f>
        <v>HPSB IV.5: Daylighting - Controllability of Systems</v>
      </c>
      <c r="B95" s="58" t="s">
        <v>464</v>
      </c>
      <c r="C95" s="211" t="s">
        <v>359</v>
      </c>
    </row>
    <row r="96" spans="1:3">
      <c r="A96" s="148" t="s">
        <v>508</v>
      </c>
      <c r="B96" s="58" t="s">
        <v>467</v>
      </c>
      <c r="C96" s="211"/>
    </row>
    <row r="97" spans="1:3" ht="33.75">
      <c r="A97" s="297" t="str">
        <f>HYPERLINK("#"&amp;"EQ6.1","LEED Credit(s) aligns closely with HPSB:")</f>
        <v>LEED Credit(s) aligns closely with HPSB:</v>
      </c>
      <c r="B97" s="112" t="s">
        <v>525</v>
      </c>
      <c r="C97" s="198" t="s">
        <v>268</v>
      </c>
    </row>
    <row r="98" spans="1:3">
      <c r="A98" s="155" t="s">
        <v>510</v>
      </c>
      <c r="B98" s="153" t="s">
        <v>468</v>
      </c>
      <c r="C98" s="217"/>
    </row>
    <row r="99" spans="1:3" ht="38.25">
      <c r="A99" s="147" t="str">
        <f>HYPERLINK("#"&amp;"HPSBIV.6","HPSB IV.6: Low Emitting Materials")</f>
        <v>HPSB IV.6: Low Emitting Materials</v>
      </c>
      <c r="B99" s="152" t="s">
        <v>328</v>
      </c>
      <c r="C99" s="206" t="s">
        <v>359</v>
      </c>
    </row>
    <row r="100" spans="1:3">
      <c r="A100" s="148" t="s">
        <v>508</v>
      </c>
      <c r="B100" s="58" t="s">
        <v>252</v>
      </c>
      <c r="C100" s="204"/>
    </row>
    <row r="101" spans="1:3" ht="38.25">
      <c r="A101" s="297" t="str">
        <f>HYPERLINK("#"&amp;"EQ4.1","LEED Credit(s) aligns closely with HPSB:")</f>
        <v>LEED Credit(s) aligns closely with HPSB:</v>
      </c>
      <c r="B101" s="112" t="s">
        <v>526</v>
      </c>
      <c r="C101" s="198" t="s">
        <v>268</v>
      </c>
    </row>
    <row r="102" spans="1:3">
      <c r="A102" s="155" t="s">
        <v>510</v>
      </c>
      <c r="B102" s="153" t="s">
        <v>468</v>
      </c>
      <c r="C102" s="217"/>
    </row>
    <row r="103" spans="1:3" ht="89.25">
      <c r="A103" s="147" t="str">
        <f>HYPERLINK("#"&amp;"HPSBIV.7","HPSB IV.7: Protect Indoor Air Quality during Construction")</f>
        <v>HPSB IV.7: Protect Indoor Air Quality during Construction</v>
      </c>
      <c r="B103" s="152" t="s">
        <v>326</v>
      </c>
      <c r="C103" s="206" t="s">
        <v>359</v>
      </c>
    </row>
    <row r="104" spans="1:3">
      <c r="A104" s="148" t="s">
        <v>508</v>
      </c>
      <c r="B104" s="58" t="s">
        <v>467</v>
      </c>
      <c r="C104" s="204"/>
    </row>
    <row r="105" spans="1:3" ht="33.75">
      <c r="A105" s="297" t="str">
        <f>HYPERLINK("#"&amp;"EQ3.1","LEED Credit(s) aligns closely with HPSB:")</f>
        <v>LEED Credit(s) aligns closely with HPSB:</v>
      </c>
      <c r="B105" s="112" t="s">
        <v>527</v>
      </c>
      <c r="C105" s="198" t="s">
        <v>268</v>
      </c>
    </row>
    <row r="106" spans="1:3">
      <c r="A106" s="155" t="s">
        <v>510</v>
      </c>
      <c r="B106" s="153" t="s">
        <v>468</v>
      </c>
      <c r="C106" s="217"/>
    </row>
    <row r="107" spans="1:3" ht="51">
      <c r="A107" s="147" t="str">
        <f>HYPERLINK("#"&amp;"HPSBIV.8","HPSB IV.8: Protect Indoor Air Quality after Construction")</f>
        <v>HPSB IV.8: Protect Indoor Air Quality after Construction</v>
      </c>
      <c r="B107" s="152" t="s">
        <v>327</v>
      </c>
      <c r="C107" s="206" t="s">
        <v>359</v>
      </c>
    </row>
    <row r="108" spans="1:3">
      <c r="A108" s="148" t="s">
        <v>508</v>
      </c>
      <c r="B108" s="58" t="s">
        <v>467</v>
      </c>
      <c r="C108" s="204"/>
    </row>
    <row r="109" spans="1:3" ht="33.75">
      <c r="A109" s="297" t="str">
        <f>HYPERLINK("#"&amp;"EQ3.2","LEED Credit(s) aligns closely with HPSB:")</f>
        <v>LEED Credit(s) aligns closely with HPSB:</v>
      </c>
      <c r="B109" s="112" t="s">
        <v>528</v>
      </c>
      <c r="C109" s="198" t="s">
        <v>268</v>
      </c>
    </row>
    <row r="110" spans="1:3">
      <c r="A110" s="155" t="s">
        <v>510</v>
      </c>
      <c r="B110" s="153" t="s">
        <v>468</v>
      </c>
      <c r="C110" s="217"/>
    </row>
    <row r="111" spans="1:3" ht="38.25">
      <c r="A111" s="147" t="str">
        <f>HYPERLINK("#"&amp;"HPSBIV.9","HPSB IV.9: Environmental Tobacco Smoke (ETS) Control")</f>
        <v>HPSB IV.9: Environmental Tobacco Smoke (ETS) Control</v>
      </c>
      <c r="B111" s="152" t="s">
        <v>325</v>
      </c>
      <c r="C111" s="206" t="s">
        <v>359</v>
      </c>
    </row>
    <row r="112" spans="1:3" ht="45">
      <c r="A112" s="148" t="s">
        <v>508</v>
      </c>
      <c r="B112" s="112" t="s">
        <v>272</v>
      </c>
      <c r="C112" s="211" t="s">
        <v>263</v>
      </c>
    </row>
    <row r="113" spans="1:3" ht="24">
      <c r="A113" s="149" t="s">
        <v>509</v>
      </c>
      <c r="B113" s="156" t="s">
        <v>468</v>
      </c>
      <c r="C113" s="215"/>
    </row>
    <row r="114" spans="1:3" ht="33.75">
      <c r="A114" s="301" t="str">
        <f>HYPERLINK("#"&amp;"EQPR2","LEED Credit(s) meet HPSB:")</f>
        <v>LEED Credit(s) meet HPSB:</v>
      </c>
      <c r="B114" s="157" t="s">
        <v>529</v>
      </c>
      <c r="C114" s="214" t="s">
        <v>268</v>
      </c>
    </row>
    <row r="115" spans="1:3">
      <c r="A115" s="114"/>
      <c r="B115" s="145" t="s">
        <v>256</v>
      </c>
      <c r="C115" s="202"/>
    </row>
    <row r="116" spans="1:3" ht="89.25">
      <c r="A116" s="147" t="str">
        <f>HYPERLINK("#"&amp;"HPSBV.1","HPSB V.1: Recycled Content")</f>
        <v>HPSB V.1: Recycled Content</v>
      </c>
      <c r="B116" s="152" t="s">
        <v>324</v>
      </c>
      <c r="C116" s="206" t="s">
        <v>367</v>
      </c>
    </row>
    <row r="117" spans="1:3">
      <c r="A117" s="148" t="s">
        <v>508</v>
      </c>
      <c r="B117" s="158" t="s">
        <v>317</v>
      </c>
      <c r="C117" s="218" t="s">
        <v>318</v>
      </c>
    </row>
    <row r="118" spans="1:3" ht="33.75">
      <c r="A118" s="297" t="str">
        <f>HYPERLINK("#"&amp;"MR4.1","LEED Credit(s) aligns closely with HPSB:")</f>
        <v>LEED Credit(s) aligns closely with HPSB:</v>
      </c>
      <c r="B118" s="113" t="s">
        <v>537</v>
      </c>
      <c r="C118" s="198" t="s">
        <v>268</v>
      </c>
    </row>
    <row r="119" spans="1:3">
      <c r="A119" s="150" t="s">
        <v>510</v>
      </c>
      <c r="B119" s="153" t="s">
        <v>468</v>
      </c>
      <c r="C119" s="217"/>
    </row>
    <row r="120" spans="1:3" ht="102">
      <c r="A120" s="147" t="str">
        <f>HYPERLINK("#"&amp;"HPSBV.2","HPSB V.2: Biobased Content")</f>
        <v>HPSB V.2: Biobased Content</v>
      </c>
      <c r="B120" s="152" t="s">
        <v>323</v>
      </c>
      <c r="C120" s="206" t="s">
        <v>0</v>
      </c>
    </row>
    <row r="121" spans="1:3">
      <c r="A121" s="148" t="s">
        <v>508</v>
      </c>
      <c r="B121" s="158" t="s">
        <v>540</v>
      </c>
      <c r="C121" s="305" t="s">
        <v>539</v>
      </c>
    </row>
    <row r="122" spans="1:3" ht="33.75">
      <c r="A122" s="297" t="str">
        <f>HYPERLINK("#"&amp;"MR6.1","LEED Credit(s) aligns closely with HPSB:")</f>
        <v>LEED Credit(s) aligns closely with HPSB:</v>
      </c>
      <c r="B122" s="113" t="s">
        <v>530</v>
      </c>
      <c r="C122" s="198" t="s">
        <v>268</v>
      </c>
    </row>
    <row r="123" spans="1:3">
      <c r="A123" s="155" t="s">
        <v>510</v>
      </c>
      <c r="B123" s="159" t="s">
        <v>468</v>
      </c>
      <c r="C123" s="217"/>
    </row>
    <row r="124" spans="1:3" ht="63.75">
      <c r="A124" s="147" t="str">
        <f>HYPERLINK("#"&amp;"HPSBV.3","HPSB V.3: Environmentally Preferable Products")</f>
        <v>HPSB V.3: Environmentally Preferable Products</v>
      </c>
      <c r="B124" s="140" t="s">
        <v>322</v>
      </c>
      <c r="C124" s="206" t="s">
        <v>507</v>
      </c>
    </row>
    <row r="125" spans="1:3">
      <c r="A125" s="148" t="s">
        <v>508</v>
      </c>
      <c r="B125" s="48" t="s">
        <v>467</v>
      </c>
      <c r="C125" s="211"/>
    </row>
    <row r="126" spans="1:3" ht="24">
      <c r="A126" s="149" t="s">
        <v>509</v>
      </c>
      <c r="B126" s="48" t="s">
        <v>468</v>
      </c>
      <c r="C126" s="211"/>
    </row>
    <row r="127" spans="1:3">
      <c r="A127" s="155" t="s">
        <v>510</v>
      </c>
      <c r="B127" s="160" t="s">
        <v>468</v>
      </c>
      <c r="C127" s="212"/>
    </row>
    <row r="128" spans="1:3" ht="76.5">
      <c r="A128" s="147" t="str">
        <f>HYPERLINK("#"&amp;"HPSBV.4","HPSB V.4: Waste and Materials Management - Recycling")</f>
        <v>HPSB V.4: Waste and Materials Management - Recycling</v>
      </c>
      <c r="B128" s="152" t="s">
        <v>321</v>
      </c>
      <c r="C128" s="206" t="s">
        <v>359</v>
      </c>
    </row>
    <row r="129" spans="1:3">
      <c r="A129" s="148" t="s">
        <v>508</v>
      </c>
      <c r="B129" s="113" t="s">
        <v>466</v>
      </c>
      <c r="C129" s="211" t="s">
        <v>267</v>
      </c>
    </row>
    <row r="130" spans="1:3" ht="24">
      <c r="A130" s="149" t="s">
        <v>509</v>
      </c>
      <c r="B130" s="156" t="s">
        <v>468</v>
      </c>
      <c r="C130" s="215"/>
    </row>
    <row r="131" spans="1:3" ht="33.75">
      <c r="A131" s="301" t="str">
        <f>HYPERLINK("#"&amp;"MRPR1","LEED Credit(s) meet HPSB:")</f>
        <v>LEED Credit(s) meet HPSB:</v>
      </c>
      <c r="B131" s="159" t="s">
        <v>531</v>
      </c>
      <c r="C131" s="214" t="s">
        <v>268</v>
      </c>
    </row>
    <row r="132" spans="1:3" ht="38.25">
      <c r="A132" s="147" t="str">
        <f>HYPERLINK("#"&amp;"HPSBV.5","HPSB V.5: Waste and Materials Management, Divert 50% from Disposal")</f>
        <v>HPSB V.5: Waste and Materials Management, Divert 50% from Disposal</v>
      </c>
      <c r="B132" s="152" t="s">
        <v>320</v>
      </c>
      <c r="C132" s="206" t="s">
        <v>359</v>
      </c>
    </row>
    <row r="133" spans="1:3">
      <c r="A133" s="148" t="s">
        <v>508</v>
      </c>
      <c r="B133" s="158" t="s">
        <v>467</v>
      </c>
      <c r="C133" s="204"/>
    </row>
    <row r="134" spans="1:3" ht="24">
      <c r="A134" s="149" t="s">
        <v>509</v>
      </c>
      <c r="B134" s="158" t="s">
        <v>468</v>
      </c>
      <c r="C134" s="204"/>
    </row>
    <row r="135" spans="1:3" ht="33.75">
      <c r="A135" s="301" t="str">
        <f>HYPERLINK("#"&amp;"MR2.1","LEED Credit(s) meet HPSB:")</f>
        <v>LEED Credit(s) meet HPSB:</v>
      </c>
      <c r="B135" s="159" t="s">
        <v>532</v>
      </c>
      <c r="C135" s="214" t="s">
        <v>268</v>
      </c>
    </row>
    <row r="136" spans="1:3" ht="63.75">
      <c r="A136" s="147" t="str">
        <f>HYPERLINK("#"&amp;"HPSBV.6","HPSB V.6: Ozone Depleting Compounds")</f>
        <v>HPSB V.6: Ozone Depleting Compounds</v>
      </c>
      <c r="B136" s="152" t="s">
        <v>319</v>
      </c>
      <c r="C136" s="206" t="s">
        <v>359</v>
      </c>
    </row>
    <row r="137" spans="1:3">
      <c r="A137" s="148" t="s">
        <v>508</v>
      </c>
      <c r="B137" s="158" t="s">
        <v>467</v>
      </c>
      <c r="C137" s="204"/>
    </row>
    <row r="138" spans="1:3" ht="33.75">
      <c r="A138" s="297" t="str">
        <f>HYPERLINK("#"&amp;"EA4.1","LEED Credit(s) aligns closely with HPSB:")</f>
        <v>LEED Credit(s) aligns closely with HPSB:</v>
      </c>
      <c r="B138" s="158" t="s">
        <v>479</v>
      </c>
      <c r="C138" s="198" t="s">
        <v>268</v>
      </c>
    </row>
    <row r="139" spans="1:3" ht="13.5" thickBot="1">
      <c r="A139" s="300" t="str">
        <f>HYPERLINK("#"&amp;"EAPR3","LEED Credit(s) meet HPSB:")</f>
        <v>LEED Credit(s) meet HPSB:</v>
      </c>
      <c r="B139" s="161" t="s">
        <v>477</v>
      </c>
      <c r="C139" s="219"/>
    </row>
  </sheetData>
  <sheetProtection password="D3C3" sheet="1" objects="1" scenarios="1"/>
  <phoneticPr fontId="11" type="noConversion"/>
  <hyperlinks>
    <hyperlink ref="C2" r:id="rId1"/>
    <hyperlink ref="C59" r:id="rId2"/>
    <hyperlink ref="C58" r:id="rId3"/>
    <hyperlink ref="C62" r:id="rId4"/>
    <hyperlink ref="C54" r:id="rId5"/>
    <hyperlink ref="C50" r:id="rId6"/>
    <hyperlink ref="C12" r:id="rId7"/>
    <hyperlink ref="C17" r:id="rId8"/>
    <hyperlink ref="C136" r:id="rId9"/>
    <hyperlink ref="C26" r:id="rId10"/>
    <hyperlink ref="C29" r:id="rId11"/>
    <hyperlink ref="C33" r:id="rId12"/>
    <hyperlink ref="C34" r:id="rId13"/>
    <hyperlink ref="C128" r:id="rId14"/>
    <hyperlink ref="C129" r:id="rId15"/>
    <hyperlink ref="C132" r:id="rId16"/>
    <hyperlink ref="C116" r:id="rId17" display="EPA's Comprehensive Procurement Website"/>
    <hyperlink ref="C120" r:id="rId18"/>
    <hyperlink ref="C79" r:id="rId19"/>
    <hyperlink ref="C83" r:id="rId20"/>
    <hyperlink ref="C111" r:id="rId21"/>
    <hyperlink ref="C112" r:id="rId22"/>
    <hyperlink ref="C99" r:id="rId23"/>
    <hyperlink ref="C95" r:id="rId24"/>
    <hyperlink ref="C37" r:id="rId25"/>
    <hyperlink ref="C8" r:id="rId26"/>
    <hyperlink ref="C21" r:id="rId27"/>
    <hyperlink ref="C66" r:id="rId28"/>
    <hyperlink ref="C67" r:id="rId29"/>
    <hyperlink ref="C70" r:id="rId30"/>
    <hyperlink ref="C74" r:id="rId31"/>
    <hyperlink ref="C124" r:id="rId32"/>
    <hyperlink ref="C41" r:id="rId33"/>
    <hyperlink ref="C45" r:id="rId34"/>
    <hyperlink ref="C63" r:id="rId35"/>
    <hyperlink ref="C25" r:id="rId36"/>
    <hyperlink ref="C107" r:id="rId37"/>
    <hyperlink ref="C18" r:id="rId38"/>
    <hyperlink ref="C51" r:id="rId39"/>
    <hyperlink ref="C87" r:id="rId40"/>
    <hyperlink ref="C88" r:id="rId41"/>
    <hyperlink ref="C3" r:id="rId42"/>
    <hyperlink ref="C14" r:id="rId43"/>
    <hyperlink ref="C19" r:id="rId44"/>
    <hyperlink ref="C31" r:id="rId45"/>
    <hyperlink ref="C35" r:id="rId46"/>
    <hyperlink ref="C53" r:id="rId47"/>
    <hyperlink ref="C57" r:id="rId48"/>
    <hyperlink ref="C61" r:id="rId49"/>
    <hyperlink ref="C82" r:id="rId50"/>
    <hyperlink ref="C86" r:id="rId51"/>
    <hyperlink ref="C97" r:id="rId52"/>
    <hyperlink ref="C101" r:id="rId53"/>
    <hyperlink ref="C105" r:id="rId54"/>
    <hyperlink ref="C109" r:id="rId55"/>
    <hyperlink ref="C114" r:id="rId56"/>
    <hyperlink ref="C118" r:id="rId57"/>
    <hyperlink ref="C122" r:id="rId58"/>
    <hyperlink ref="C131" r:id="rId59"/>
    <hyperlink ref="C135" r:id="rId60"/>
    <hyperlink ref="C138" r:id="rId61"/>
    <hyperlink ref="C117" r:id="rId62"/>
    <hyperlink ref="C93" r:id="rId63"/>
    <hyperlink ref="C64" r:id="rId64"/>
    <hyperlink ref="C121" r:id="rId65"/>
  </hyperlinks>
  <pageMargins left="0.5" right="0.5" top="0.5" bottom="0.5" header="0.25" footer="0.5"/>
  <pageSetup scale="80" orientation="portrait" r:id="rId66"/>
  <headerFooter alignWithMargins="0">
    <oddFooter>&amp;C&amp;P</oddFooter>
  </headerFooter>
  <rowBreaks count="5" manualBreakCount="5">
    <brk id="20" max="16383" man="1"/>
    <brk id="48" max="16383" man="1"/>
    <brk id="77" max="16383" man="1"/>
    <brk id="106" max="16383" man="1"/>
    <brk id="131" max="16383" man="1"/>
  </rowBreaks>
</worksheet>
</file>

<file path=xl/worksheets/sheet3.xml><?xml version="1.0" encoding="utf-8"?>
<worksheet xmlns="http://schemas.openxmlformats.org/spreadsheetml/2006/main" xmlns:r="http://schemas.openxmlformats.org/officeDocument/2006/relationships">
  <dimension ref="A1:E211"/>
  <sheetViews>
    <sheetView topLeftCell="A212" workbookViewId="0">
      <selection activeCell="A211" sqref="A94:IV211"/>
    </sheetView>
  </sheetViews>
  <sheetFormatPr defaultRowHeight="12.75"/>
  <cols>
    <col min="1" max="1" width="4.5703125" style="86" customWidth="1"/>
    <col min="2" max="2" width="27.5703125" style="86" customWidth="1"/>
    <col min="3" max="3" width="18.28515625" style="86" customWidth="1"/>
    <col min="4" max="4" width="11.140625" style="86" customWidth="1"/>
    <col min="5" max="16384" width="9.140625" style="86"/>
  </cols>
  <sheetData>
    <row r="1" spans="1:5" ht="18.75" hidden="1">
      <c r="A1" s="62"/>
      <c r="B1" s="63" t="s">
        <v>1</v>
      </c>
      <c r="C1" s="64"/>
      <c r="D1" s="65"/>
      <c r="E1" s="65"/>
    </row>
    <row r="2" spans="1:5" ht="21" hidden="1">
      <c r="A2" s="62"/>
      <c r="B2" s="66" t="s">
        <v>2</v>
      </c>
      <c r="C2" s="62"/>
      <c r="D2" s="65"/>
      <c r="E2" s="65"/>
    </row>
    <row r="3" spans="1:5" hidden="1">
      <c r="A3" s="62"/>
      <c r="B3" s="67" t="s">
        <v>3</v>
      </c>
      <c r="C3" s="68" t="s">
        <v>4</v>
      </c>
      <c r="D3" s="69" t="s">
        <v>5</v>
      </c>
      <c r="E3" s="69" t="s">
        <v>6</v>
      </c>
    </row>
    <row r="4" spans="1:5" ht="14.25" hidden="1">
      <c r="A4" s="70">
        <v>69</v>
      </c>
      <c r="B4" s="76" t="s">
        <v>176</v>
      </c>
      <c r="C4" s="76" t="s">
        <v>177</v>
      </c>
      <c r="D4" s="77" t="s">
        <v>178</v>
      </c>
      <c r="E4" s="77" t="s">
        <v>56</v>
      </c>
    </row>
    <row r="5" spans="1:5" ht="14.25" hidden="1">
      <c r="A5" s="70">
        <v>4</v>
      </c>
      <c r="B5" s="76" t="s">
        <v>16</v>
      </c>
      <c r="C5" s="76" t="s">
        <v>17</v>
      </c>
      <c r="D5" s="77" t="s">
        <v>18</v>
      </c>
      <c r="E5" s="74" t="s">
        <v>10</v>
      </c>
    </row>
    <row r="6" spans="1:5" ht="14.25" hidden="1">
      <c r="A6" s="70">
        <v>52</v>
      </c>
      <c r="B6" s="84" t="s">
        <v>131</v>
      </c>
      <c r="C6" s="75" t="s">
        <v>132</v>
      </c>
      <c r="D6" s="85" t="s">
        <v>133</v>
      </c>
      <c r="E6" s="77" t="s">
        <v>56</v>
      </c>
    </row>
    <row r="7" spans="1:5" ht="14.25" hidden="1">
      <c r="A7" s="70">
        <v>75</v>
      </c>
      <c r="B7" s="76" t="s">
        <v>191</v>
      </c>
      <c r="C7" s="76" t="s">
        <v>192</v>
      </c>
      <c r="D7" s="77" t="s">
        <v>193</v>
      </c>
      <c r="E7" s="77" t="s">
        <v>56</v>
      </c>
    </row>
    <row r="8" spans="1:5" ht="14.25" hidden="1">
      <c r="A8" s="70">
        <v>5</v>
      </c>
      <c r="B8" s="71" t="s">
        <v>19</v>
      </c>
      <c r="C8" s="72" t="s">
        <v>20</v>
      </c>
      <c r="D8" s="74" t="s">
        <v>21</v>
      </c>
      <c r="E8" s="74" t="s">
        <v>10</v>
      </c>
    </row>
    <row r="9" spans="1:5" ht="14.25" hidden="1">
      <c r="A9" s="70">
        <v>50</v>
      </c>
      <c r="B9" s="76" t="s">
        <v>125</v>
      </c>
      <c r="C9" s="76" t="s">
        <v>126</v>
      </c>
      <c r="D9" s="77" t="s">
        <v>127</v>
      </c>
      <c r="E9" s="77" t="s">
        <v>56</v>
      </c>
    </row>
    <row r="10" spans="1:5" ht="14.25" hidden="1">
      <c r="A10" s="70">
        <v>28</v>
      </c>
      <c r="B10" s="76" t="s">
        <v>77</v>
      </c>
      <c r="C10" s="76" t="s">
        <v>78</v>
      </c>
      <c r="D10" s="77" t="s">
        <v>76</v>
      </c>
      <c r="E10" s="77" t="s">
        <v>56</v>
      </c>
    </row>
    <row r="11" spans="1:5" ht="14.25" hidden="1">
      <c r="A11" s="70">
        <v>21</v>
      </c>
      <c r="B11" s="76" t="s">
        <v>59</v>
      </c>
      <c r="C11" s="76" t="s">
        <v>60</v>
      </c>
      <c r="D11" s="77" t="s">
        <v>61</v>
      </c>
      <c r="E11" s="82" t="s">
        <v>56</v>
      </c>
    </row>
    <row r="12" spans="1:5" ht="14.25" hidden="1">
      <c r="A12" s="70">
        <v>37</v>
      </c>
      <c r="B12" s="76" t="s">
        <v>92</v>
      </c>
      <c r="C12" s="76" t="s">
        <v>93</v>
      </c>
      <c r="D12" s="77" t="s">
        <v>94</v>
      </c>
      <c r="E12" s="77" t="s">
        <v>56</v>
      </c>
    </row>
    <row r="13" spans="1:5" ht="14.25" hidden="1">
      <c r="A13" s="70">
        <v>33</v>
      </c>
      <c r="B13" s="76" t="s">
        <v>87</v>
      </c>
      <c r="C13" s="76" t="s">
        <v>88</v>
      </c>
      <c r="D13" s="77" t="s">
        <v>86</v>
      </c>
      <c r="E13" s="77" t="s">
        <v>56</v>
      </c>
    </row>
    <row r="14" spans="1:5" ht="14.25" hidden="1">
      <c r="A14" s="70">
        <v>64</v>
      </c>
      <c r="B14" s="76" t="s">
        <v>163</v>
      </c>
      <c r="C14" s="76" t="s">
        <v>164</v>
      </c>
      <c r="D14" s="77" t="s">
        <v>160</v>
      </c>
      <c r="E14" s="77" t="s">
        <v>56</v>
      </c>
    </row>
    <row r="15" spans="1:5" ht="14.25" hidden="1">
      <c r="A15" s="70">
        <v>43</v>
      </c>
      <c r="B15" s="76" t="s">
        <v>107</v>
      </c>
      <c r="C15" s="76" t="s">
        <v>108</v>
      </c>
      <c r="D15" s="77" t="s">
        <v>100</v>
      </c>
      <c r="E15" s="77" t="s">
        <v>56</v>
      </c>
    </row>
    <row r="16" spans="1:5" ht="14.25" hidden="1">
      <c r="A16" s="70">
        <v>72</v>
      </c>
      <c r="B16" s="75" t="s">
        <v>183</v>
      </c>
      <c r="C16" s="75" t="s">
        <v>184</v>
      </c>
      <c r="D16" s="85" t="s">
        <v>185</v>
      </c>
      <c r="E16" s="77" t="s">
        <v>56</v>
      </c>
    </row>
    <row r="17" spans="1:5" ht="14.25" hidden="1">
      <c r="A17" s="70">
        <v>34</v>
      </c>
      <c r="B17" s="76" t="s">
        <v>89</v>
      </c>
      <c r="C17" s="76" t="s">
        <v>85</v>
      </c>
      <c r="D17" s="77" t="s">
        <v>86</v>
      </c>
      <c r="E17" s="77" t="s">
        <v>56</v>
      </c>
    </row>
    <row r="18" spans="1:5" ht="14.25" hidden="1">
      <c r="A18" s="70">
        <v>54</v>
      </c>
      <c r="B18" s="76" t="s">
        <v>137</v>
      </c>
      <c r="C18" s="76" t="s">
        <v>138</v>
      </c>
      <c r="D18" s="77" t="s">
        <v>139</v>
      </c>
      <c r="E18" s="77" t="s">
        <v>56</v>
      </c>
    </row>
    <row r="19" spans="1:5" ht="14.25" hidden="1">
      <c r="A19" s="70">
        <v>65</v>
      </c>
      <c r="B19" s="76" t="s">
        <v>165</v>
      </c>
      <c r="C19" s="76" t="s">
        <v>166</v>
      </c>
      <c r="D19" s="77" t="s">
        <v>167</v>
      </c>
      <c r="E19" s="77" t="s">
        <v>56</v>
      </c>
    </row>
    <row r="20" spans="1:5" ht="14.25" hidden="1">
      <c r="A20" s="70">
        <v>25</v>
      </c>
      <c r="B20" s="76" t="s">
        <v>69</v>
      </c>
      <c r="C20" s="76" t="s">
        <v>70</v>
      </c>
      <c r="D20" s="77" t="s">
        <v>71</v>
      </c>
      <c r="E20" s="77" t="s">
        <v>56</v>
      </c>
    </row>
    <row r="21" spans="1:5" ht="14.25" hidden="1">
      <c r="A21" s="70">
        <v>38</v>
      </c>
      <c r="B21" s="76" t="s">
        <v>95</v>
      </c>
      <c r="C21" s="76" t="s">
        <v>96</v>
      </c>
      <c r="D21" s="77" t="s">
        <v>97</v>
      </c>
      <c r="E21" s="77" t="s">
        <v>56</v>
      </c>
    </row>
    <row r="22" spans="1:5" ht="14.25" hidden="1">
      <c r="A22" s="70">
        <v>76</v>
      </c>
      <c r="B22" s="76" t="s">
        <v>194</v>
      </c>
      <c r="C22" s="76" t="s">
        <v>195</v>
      </c>
      <c r="D22" s="77" t="s">
        <v>196</v>
      </c>
      <c r="E22" s="77" t="s">
        <v>56</v>
      </c>
    </row>
    <row r="23" spans="1:5" ht="14.25" hidden="1">
      <c r="A23" s="70">
        <v>29</v>
      </c>
      <c r="B23" s="76" t="s">
        <v>79</v>
      </c>
      <c r="C23" s="76" t="s">
        <v>79</v>
      </c>
      <c r="D23" s="77" t="s">
        <v>76</v>
      </c>
      <c r="E23" s="77" t="s">
        <v>56</v>
      </c>
    </row>
    <row r="24" spans="1:5" ht="14.25" hidden="1">
      <c r="A24" s="70">
        <v>41</v>
      </c>
      <c r="B24" s="76" t="s">
        <v>103</v>
      </c>
      <c r="C24" s="76" t="s">
        <v>104</v>
      </c>
      <c r="D24" s="77" t="s">
        <v>100</v>
      </c>
      <c r="E24" s="77" t="s">
        <v>56</v>
      </c>
    </row>
    <row r="25" spans="1:5" ht="14.25" hidden="1">
      <c r="A25" s="70">
        <v>19</v>
      </c>
      <c r="B25" s="76" t="s">
        <v>53</v>
      </c>
      <c r="C25" s="76" t="s">
        <v>54</v>
      </c>
      <c r="D25" s="77" t="s">
        <v>55</v>
      </c>
      <c r="E25" s="81" t="s">
        <v>56</v>
      </c>
    </row>
    <row r="26" spans="1:5" ht="14.25" hidden="1">
      <c r="A26" s="70">
        <v>74</v>
      </c>
      <c r="B26" s="76" t="s">
        <v>188</v>
      </c>
      <c r="C26" s="76" t="s">
        <v>189</v>
      </c>
      <c r="D26" s="77" t="s">
        <v>190</v>
      </c>
      <c r="E26" s="77" t="s">
        <v>56</v>
      </c>
    </row>
    <row r="27" spans="1:5" ht="14.25" hidden="1">
      <c r="A27" s="70">
        <v>20</v>
      </c>
      <c r="B27" s="76" t="s">
        <v>57</v>
      </c>
      <c r="C27" s="76" t="s">
        <v>58</v>
      </c>
      <c r="D27" s="77" t="s">
        <v>55</v>
      </c>
      <c r="E27" s="81" t="s">
        <v>56</v>
      </c>
    </row>
    <row r="28" spans="1:5" ht="14.25" hidden="1">
      <c r="A28" s="70">
        <v>86</v>
      </c>
      <c r="B28" s="84" t="s">
        <v>217</v>
      </c>
      <c r="C28" s="76" t="s">
        <v>218</v>
      </c>
      <c r="D28" s="74" t="s">
        <v>219</v>
      </c>
      <c r="E28" s="77" t="s">
        <v>56</v>
      </c>
    </row>
    <row r="29" spans="1:5" ht="14.25" hidden="1">
      <c r="A29" s="70">
        <v>84</v>
      </c>
      <c r="B29" s="76" t="s">
        <v>212</v>
      </c>
      <c r="C29" s="76" t="s">
        <v>213</v>
      </c>
      <c r="D29" s="77" t="s">
        <v>214</v>
      </c>
      <c r="E29" s="77" t="s">
        <v>56</v>
      </c>
    </row>
    <row r="30" spans="1:5" ht="14.25" hidden="1">
      <c r="A30" s="70">
        <v>77</v>
      </c>
      <c r="B30" s="76" t="s">
        <v>197</v>
      </c>
      <c r="C30" s="76" t="s">
        <v>198</v>
      </c>
      <c r="D30" s="77" t="s">
        <v>196</v>
      </c>
      <c r="E30" s="77" t="s">
        <v>56</v>
      </c>
    </row>
    <row r="31" spans="1:5" ht="14.25" hidden="1">
      <c r="A31" s="70">
        <v>59</v>
      </c>
      <c r="B31" s="75" t="s">
        <v>150</v>
      </c>
      <c r="C31" s="76" t="s">
        <v>151</v>
      </c>
      <c r="D31" s="85" t="s">
        <v>152</v>
      </c>
      <c r="E31" s="77" t="s">
        <v>56</v>
      </c>
    </row>
    <row r="32" spans="1:5" ht="14.25" hidden="1">
      <c r="A32" s="70">
        <v>51</v>
      </c>
      <c r="B32" s="76" t="s">
        <v>128</v>
      </c>
      <c r="C32" s="76" t="s">
        <v>129</v>
      </c>
      <c r="D32" s="77" t="s">
        <v>130</v>
      </c>
      <c r="E32" s="77" t="s">
        <v>56</v>
      </c>
    </row>
    <row r="33" spans="1:5" ht="14.25" hidden="1">
      <c r="A33" s="70">
        <v>22</v>
      </c>
      <c r="B33" s="76" t="s">
        <v>62</v>
      </c>
      <c r="C33" s="76" t="s">
        <v>60</v>
      </c>
      <c r="D33" s="77" t="s">
        <v>61</v>
      </c>
      <c r="E33" s="82" t="s">
        <v>56</v>
      </c>
    </row>
    <row r="34" spans="1:5" ht="14.25" hidden="1">
      <c r="A34" s="70">
        <v>82</v>
      </c>
      <c r="B34" s="76" t="s">
        <v>206</v>
      </c>
      <c r="C34" s="76" t="s">
        <v>207</v>
      </c>
      <c r="D34" s="77" t="s">
        <v>208</v>
      </c>
      <c r="E34" s="77" t="s">
        <v>56</v>
      </c>
    </row>
    <row r="35" spans="1:5" ht="14.25" hidden="1">
      <c r="A35" s="70">
        <v>62</v>
      </c>
      <c r="B35" s="76" t="s">
        <v>158</v>
      </c>
      <c r="C35" s="76" t="s">
        <v>159</v>
      </c>
      <c r="D35" s="77" t="s">
        <v>160</v>
      </c>
      <c r="E35" s="77" t="s">
        <v>56</v>
      </c>
    </row>
    <row r="36" spans="1:5" ht="14.25" hidden="1">
      <c r="A36" s="70">
        <v>42</v>
      </c>
      <c r="B36" s="76" t="s">
        <v>105</v>
      </c>
      <c r="C36" s="76" t="s">
        <v>106</v>
      </c>
      <c r="D36" s="77" t="s">
        <v>100</v>
      </c>
      <c r="E36" s="77" t="s">
        <v>56</v>
      </c>
    </row>
    <row r="37" spans="1:5" ht="14.25" hidden="1">
      <c r="A37" s="70">
        <v>12</v>
      </c>
      <c r="B37" s="71" t="s">
        <v>37</v>
      </c>
      <c r="C37" s="72" t="s">
        <v>38</v>
      </c>
      <c r="D37" s="74" t="s">
        <v>39</v>
      </c>
      <c r="E37" s="74" t="s">
        <v>10</v>
      </c>
    </row>
    <row r="38" spans="1:5" ht="14.25" hidden="1">
      <c r="A38" s="70">
        <v>18</v>
      </c>
      <c r="B38" s="78" t="s">
        <v>51</v>
      </c>
      <c r="C38" s="79" t="s">
        <v>52</v>
      </c>
      <c r="D38" s="80" t="s">
        <v>39</v>
      </c>
      <c r="E38" s="74" t="s">
        <v>10</v>
      </c>
    </row>
    <row r="39" spans="1:5" ht="14.25" hidden="1">
      <c r="A39" s="70">
        <v>6</v>
      </c>
      <c r="B39" s="71" t="s">
        <v>22</v>
      </c>
      <c r="C39" s="72" t="s">
        <v>23</v>
      </c>
      <c r="D39" s="73" t="s">
        <v>24</v>
      </c>
      <c r="E39" s="74" t="s">
        <v>10</v>
      </c>
    </row>
    <row r="40" spans="1:5" ht="14.25" hidden="1">
      <c r="A40" s="70">
        <v>55</v>
      </c>
      <c r="B40" s="76" t="s">
        <v>140</v>
      </c>
      <c r="C40" s="76" t="s">
        <v>141</v>
      </c>
      <c r="D40" s="77" t="s">
        <v>139</v>
      </c>
      <c r="E40" s="77" t="s">
        <v>56</v>
      </c>
    </row>
    <row r="41" spans="1:5" ht="14.25" hidden="1">
      <c r="A41" s="70">
        <v>63</v>
      </c>
      <c r="B41" s="76" t="s">
        <v>161</v>
      </c>
      <c r="C41" s="76" t="s">
        <v>162</v>
      </c>
      <c r="D41" s="77" t="s">
        <v>160</v>
      </c>
      <c r="E41" s="77" t="s">
        <v>56</v>
      </c>
    </row>
    <row r="42" spans="1:5" ht="14.25" hidden="1">
      <c r="A42" s="70">
        <v>10</v>
      </c>
      <c r="B42" s="71" t="s">
        <v>32</v>
      </c>
      <c r="C42" s="72" t="s">
        <v>33</v>
      </c>
      <c r="D42" s="73" t="s">
        <v>34</v>
      </c>
      <c r="E42" s="74" t="s">
        <v>10</v>
      </c>
    </row>
    <row r="43" spans="1:5" ht="14.25" hidden="1">
      <c r="A43" s="70">
        <v>78</v>
      </c>
      <c r="B43" s="76" t="s">
        <v>199</v>
      </c>
      <c r="C43" s="76" t="s">
        <v>200</v>
      </c>
      <c r="D43" s="77" t="s">
        <v>196</v>
      </c>
      <c r="E43" s="77" t="s">
        <v>56</v>
      </c>
    </row>
    <row r="44" spans="1:5" ht="28.5" hidden="1">
      <c r="A44" s="70">
        <v>9</v>
      </c>
      <c r="B44" s="71" t="s">
        <v>29</v>
      </c>
      <c r="C44" s="72" t="s">
        <v>30</v>
      </c>
      <c r="D44" s="74" t="s">
        <v>31</v>
      </c>
      <c r="E44" s="74" t="s">
        <v>10</v>
      </c>
    </row>
    <row r="45" spans="1:5" ht="14.25" hidden="1">
      <c r="A45" s="70">
        <v>83</v>
      </c>
      <c r="B45" s="76" t="s">
        <v>209</v>
      </c>
      <c r="C45" s="76" t="s">
        <v>210</v>
      </c>
      <c r="D45" s="77" t="s">
        <v>211</v>
      </c>
      <c r="E45" s="77" t="s">
        <v>56</v>
      </c>
    </row>
    <row r="46" spans="1:5" ht="14.25" hidden="1">
      <c r="A46" s="70">
        <v>79</v>
      </c>
      <c r="B46" s="76" t="s">
        <v>201</v>
      </c>
      <c r="C46" s="76" t="s">
        <v>202</v>
      </c>
      <c r="D46" s="77" t="s">
        <v>196</v>
      </c>
      <c r="E46" s="77" t="s">
        <v>56</v>
      </c>
    </row>
    <row r="47" spans="1:5" ht="14.25" hidden="1">
      <c r="A47" s="70">
        <v>24</v>
      </c>
      <c r="B47" s="84" t="s">
        <v>66</v>
      </c>
      <c r="C47" s="76" t="s">
        <v>67</v>
      </c>
      <c r="D47" s="74" t="s">
        <v>68</v>
      </c>
      <c r="E47" s="74" t="s">
        <v>56</v>
      </c>
    </row>
    <row r="48" spans="1:5" ht="14.25" hidden="1">
      <c r="A48" s="70">
        <v>30</v>
      </c>
      <c r="B48" s="76" t="s">
        <v>80</v>
      </c>
      <c r="C48" s="76" t="s">
        <v>81</v>
      </c>
      <c r="D48" s="77" t="s">
        <v>76</v>
      </c>
      <c r="E48" s="77" t="s">
        <v>56</v>
      </c>
    </row>
    <row r="49" spans="1:5" ht="14.25" hidden="1">
      <c r="A49" s="70">
        <v>26</v>
      </c>
      <c r="B49" s="76" t="s">
        <v>72</v>
      </c>
      <c r="C49" s="76" t="s">
        <v>73</v>
      </c>
      <c r="D49" s="77" t="s">
        <v>71</v>
      </c>
      <c r="E49" s="77" t="s">
        <v>56</v>
      </c>
    </row>
    <row r="50" spans="1:5" ht="14.25" hidden="1">
      <c r="A50" s="70">
        <v>39</v>
      </c>
      <c r="B50" s="76" t="s">
        <v>98</v>
      </c>
      <c r="C50" s="76" t="s">
        <v>99</v>
      </c>
      <c r="D50" s="77" t="s">
        <v>100</v>
      </c>
      <c r="E50" s="77" t="s">
        <v>56</v>
      </c>
    </row>
    <row r="51" spans="1:5" ht="14.25" hidden="1">
      <c r="A51" s="70">
        <v>56</v>
      </c>
      <c r="B51" s="84" t="s">
        <v>142</v>
      </c>
      <c r="C51" s="76" t="s">
        <v>143</v>
      </c>
      <c r="D51" s="73" t="s">
        <v>144</v>
      </c>
      <c r="E51" s="77" t="s">
        <v>56</v>
      </c>
    </row>
    <row r="52" spans="1:5" ht="14.25" hidden="1">
      <c r="A52" s="70">
        <v>23</v>
      </c>
      <c r="B52" s="79" t="s">
        <v>63</v>
      </c>
      <c r="C52" s="79" t="s">
        <v>64</v>
      </c>
      <c r="D52" s="83" t="s">
        <v>65</v>
      </c>
      <c r="E52" s="77" t="s">
        <v>56</v>
      </c>
    </row>
    <row r="53" spans="1:5" ht="14.25" hidden="1">
      <c r="A53" s="70">
        <v>85</v>
      </c>
      <c r="B53" s="76" t="s">
        <v>215</v>
      </c>
      <c r="C53" s="76" t="s">
        <v>216</v>
      </c>
      <c r="D53" s="77" t="s">
        <v>214</v>
      </c>
      <c r="E53" s="77" t="s">
        <v>56</v>
      </c>
    </row>
    <row r="54" spans="1:5" ht="14.25" hidden="1">
      <c r="A54" s="70">
        <v>49</v>
      </c>
      <c r="B54" s="76" t="s">
        <v>122</v>
      </c>
      <c r="C54" s="72" t="s">
        <v>123</v>
      </c>
      <c r="D54" s="77" t="s">
        <v>124</v>
      </c>
      <c r="E54" s="77" t="s">
        <v>56</v>
      </c>
    </row>
    <row r="55" spans="1:5" ht="14.25" hidden="1">
      <c r="A55" s="70">
        <v>60</v>
      </c>
      <c r="B55" s="76" t="s">
        <v>153</v>
      </c>
      <c r="C55" s="76" t="s">
        <v>154</v>
      </c>
      <c r="D55" s="77" t="s">
        <v>152</v>
      </c>
      <c r="E55" s="77" t="s">
        <v>56</v>
      </c>
    </row>
    <row r="56" spans="1:5" ht="14.25" hidden="1">
      <c r="A56" s="70">
        <v>7</v>
      </c>
      <c r="B56" s="71" t="s">
        <v>25</v>
      </c>
      <c r="C56" s="72" t="s">
        <v>26</v>
      </c>
      <c r="D56" s="73" t="s">
        <v>24</v>
      </c>
      <c r="E56" s="74" t="s">
        <v>10</v>
      </c>
    </row>
    <row r="57" spans="1:5" ht="14.25" hidden="1">
      <c r="A57" s="70">
        <v>45</v>
      </c>
      <c r="B57" s="76" t="s">
        <v>111</v>
      </c>
      <c r="C57" s="76" t="s">
        <v>112</v>
      </c>
      <c r="D57" s="77" t="s">
        <v>113</v>
      </c>
      <c r="E57" s="77" t="s">
        <v>56</v>
      </c>
    </row>
    <row r="58" spans="1:5" ht="14.25" hidden="1">
      <c r="A58" s="70">
        <v>47</v>
      </c>
      <c r="B58" s="76" t="s">
        <v>116</v>
      </c>
      <c r="C58" s="76" t="s">
        <v>117</v>
      </c>
      <c r="D58" s="77" t="s">
        <v>118</v>
      </c>
      <c r="E58" s="77" t="s">
        <v>56</v>
      </c>
    </row>
    <row r="59" spans="1:5" ht="14.25" hidden="1">
      <c r="A59" s="70">
        <v>66</v>
      </c>
      <c r="B59" s="76" t="s">
        <v>168</v>
      </c>
      <c r="C59" s="76" t="s">
        <v>169</v>
      </c>
      <c r="D59" s="77" t="s">
        <v>167</v>
      </c>
      <c r="E59" s="77" t="s">
        <v>56</v>
      </c>
    </row>
    <row r="60" spans="1:5" ht="14.25" hidden="1">
      <c r="A60" s="70">
        <v>61</v>
      </c>
      <c r="B60" s="76" t="s">
        <v>155</v>
      </c>
      <c r="C60" s="76" t="s">
        <v>156</v>
      </c>
      <c r="D60" s="77" t="s">
        <v>157</v>
      </c>
      <c r="E60" s="77" t="s">
        <v>56</v>
      </c>
    </row>
    <row r="61" spans="1:5" ht="14.25" hidden="1">
      <c r="A61" s="70">
        <v>11</v>
      </c>
      <c r="B61" s="71" t="s">
        <v>35</v>
      </c>
      <c r="C61" s="72" t="s">
        <v>36</v>
      </c>
      <c r="D61" s="73" t="s">
        <v>34</v>
      </c>
      <c r="E61" s="74" t="s">
        <v>10</v>
      </c>
    </row>
    <row r="62" spans="1:5" ht="14.25" hidden="1">
      <c r="A62" s="70">
        <v>87</v>
      </c>
      <c r="B62" s="84" t="s">
        <v>220</v>
      </c>
      <c r="C62" s="84"/>
      <c r="D62" s="84"/>
      <c r="E62" s="84"/>
    </row>
    <row r="63" spans="1:5" ht="14.25" hidden="1">
      <c r="A63" s="70">
        <v>44</v>
      </c>
      <c r="B63" s="76" t="s">
        <v>109</v>
      </c>
      <c r="C63" s="76" t="s">
        <v>110</v>
      </c>
      <c r="D63" s="77" t="s">
        <v>100</v>
      </c>
      <c r="E63" s="77" t="s">
        <v>56</v>
      </c>
    </row>
    <row r="64" spans="1:5" ht="14.25" hidden="1">
      <c r="A64" s="70">
        <v>35</v>
      </c>
      <c r="B64" s="76" t="s">
        <v>90</v>
      </c>
      <c r="C64" s="76" t="s">
        <v>85</v>
      </c>
      <c r="D64" s="77" t="s">
        <v>86</v>
      </c>
      <c r="E64" s="77" t="s">
        <v>56</v>
      </c>
    </row>
    <row r="65" spans="1:5" ht="14.25" hidden="1">
      <c r="A65" s="70">
        <v>57</v>
      </c>
      <c r="B65" s="75" t="s">
        <v>145</v>
      </c>
      <c r="C65" s="75" t="s">
        <v>146</v>
      </c>
      <c r="D65" s="85" t="s">
        <v>147</v>
      </c>
      <c r="E65" s="77" t="s">
        <v>56</v>
      </c>
    </row>
    <row r="66" spans="1:5" ht="28.5" hidden="1">
      <c r="A66" s="70">
        <v>13</v>
      </c>
      <c r="B66" s="71" t="s">
        <v>40</v>
      </c>
      <c r="C66" s="72" t="s">
        <v>41</v>
      </c>
      <c r="D66" s="74" t="s">
        <v>42</v>
      </c>
      <c r="E66" s="74" t="s">
        <v>10</v>
      </c>
    </row>
    <row r="67" spans="1:5" ht="28.5" hidden="1">
      <c r="A67" s="70">
        <v>14</v>
      </c>
      <c r="B67" s="78" t="s">
        <v>43</v>
      </c>
      <c r="C67" s="79" t="s">
        <v>44</v>
      </c>
      <c r="D67" s="80" t="s">
        <v>42</v>
      </c>
      <c r="E67" s="74" t="s">
        <v>10</v>
      </c>
    </row>
    <row r="68" spans="1:5" ht="28.5" hidden="1">
      <c r="A68" s="70">
        <v>15</v>
      </c>
      <c r="B68" s="71" t="s">
        <v>45</v>
      </c>
      <c r="C68" s="72" t="s">
        <v>46</v>
      </c>
      <c r="D68" s="80" t="s">
        <v>42</v>
      </c>
      <c r="E68" s="74" t="s">
        <v>10</v>
      </c>
    </row>
    <row r="69" spans="1:5" ht="28.5" hidden="1">
      <c r="A69" s="70">
        <v>16</v>
      </c>
      <c r="B69" s="71" t="s">
        <v>47</v>
      </c>
      <c r="C69" s="72" t="s">
        <v>48</v>
      </c>
      <c r="D69" s="74" t="s">
        <v>42</v>
      </c>
      <c r="E69" s="74" t="s">
        <v>10</v>
      </c>
    </row>
    <row r="70" spans="1:5" ht="28.5" hidden="1">
      <c r="A70" s="70">
        <v>17</v>
      </c>
      <c r="B70" s="71" t="s">
        <v>49</v>
      </c>
      <c r="C70" s="72" t="s">
        <v>50</v>
      </c>
      <c r="D70" s="74" t="s">
        <v>42</v>
      </c>
      <c r="E70" s="74" t="s">
        <v>10</v>
      </c>
    </row>
    <row r="71" spans="1:5" ht="14.25" hidden="1">
      <c r="A71" s="70">
        <v>1</v>
      </c>
      <c r="B71" s="71" t="s">
        <v>7</v>
      </c>
      <c r="C71" s="72" t="s">
        <v>8</v>
      </c>
      <c r="D71" s="73" t="s">
        <v>9</v>
      </c>
      <c r="E71" s="74" t="s">
        <v>10</v>
      </c>
    </row>
    <row r="72" spans="1:5" ht="14.25" hidden="1">
      <c r="A72" s="70">
        <v>80</v>
      </c>
      <c r="B72" s="76" t="s">
        <v>203</v>
      </c>
      <c r="C72" s="76" t="s">
        <v>200</v>
      </c>
      <c r="D72" s="77" t="s">
        <v>196</v>
      </c>
      <c r="E72" s="77" t="s">
        <v>56</v>
      </c>
    </row>
    <row r="73" spans="1:5" ht="14.25" hidden="1">
      <c r="A73" s="70">
        <v>46</v>
      </c>
      <c r="B73" s="76" t="s">
        <v>114</v>
      </c>
      <c r="C73" s="76" t="s">
        <v>115</v>
      </c>
      <c r="D73" s="77" t="s">
        <v>113</v>
      </c>
      <c r="E73" s="77" t="s">
        <v>56</v>
      </c>
    </row>
    <row r="74" spans="1:5" ht="14.25" hidden="1">
      <c r="A74" s="70">
        <v>67</v>
      </c>
      <c r="B74" s="76" t="s">
        <v>170</v>
      </c>
      <c r="C74" s="76" t="s">
        <v>171</v>
      </c>
      <c r="D74" s="77" t="s">
        <v>172</v>
      </c>
      <c r="E74" s="77" t="s">
        <v>56</v>
      </c>
    </row>
    <row r="75" spans="1:5" ht="14.25" hidden="1">
      <c r="A75" s="70">
        <v>36</v>
      </c>
      <c r="B75" s="76" t="s">
        <v>91</v>
      </c>
      <c r="C75" s="76" t="s">
        <v>85</v>
      </c>
      <c r="D75" s="77" t="s">
        <v>86</v>
      </c>
      <c r="E75" s="77" t="s">
        <v>56</v>
      </c>
    </row>
    <row r="76" spans="1:5" ht="14.25" hidden="1">
      <c r="A76" s="70">
        <v>48</v>
      </c>
      <c r="B76" s="76" t="s">
        <v>119</v>
      </c>
      <c r="C76" s="76" t="s">
        <v>120</v>
      </c>
      <c r="D76" s="77" t="s">
        <v>121</v>
      </c>
      <c r="E76" s="77" t="s">
        <v>56</v>
      </c>
    </row>
    <row r="77" spans="1:5" ht="14.25" hidden="1">
      <c r="A77" s="70">
        <v>58</v>
      </c>
      <c r="B77" s="76" t="s">
        <v>148</v>
      </c>
      <c r="C77" s="76" t="s">
        <v>149</v>
      </c>
      <c r="D77" s="77" t="s">
        <v>147</v>
      </c>
      <c r="E77" s="77" t="s">
        <v>56</v>
      </c>
    </row>
    <row r="78" spans="1:5" ht="14.25" hidden="1">
      <c r="A78" s="70">
        <v>73</v>
      </c>
      <c r="B78" s="76" t="s">
        <v>186</v>
      </c>
      <c r="C78" s="76" t="s">
        <v>187</v>
      </c>
      <c r="D78" s="77" t="s">
        <v>185</v>
      </c>
      <c r="E78" s="77" t="s">
        <v>56</v>
      </c>
    </row>
    <row r="79" spans="1:5" ht="14.25" hidden="1">
      <c r="A79" s="70">
        <v>81</v>
      </c>
      <c r="B79" s="76" t="s">
        <v>204</v>
      </c>
      <c r="C79" s="76" t="s">
        <v>205</v>
      </c>
      <c r="D79" s="77" t="s">
        <v>196</v>
      </c>
      <c r="E79" s="77" t="s">
        <v>56</v>
      </c>
    </row>
    <row r="80" spans="1:5" ht="14.25" hidden="1">
      <c r="A80" s="70">
        <v>2</v>
      </c>
      <c r="B80" s="75" t="s">
        <v>11</v>
      </c>
      <c r="C80" s="72" t="s">
        <v>12</v>
      </c>
      <c r="D80" s="74" t="s">
        <v>9</v>
      </c>
      <c r="E80" s="74" t="s">
        <v>10</v>
      </c>
    </row>
    <row r="81" spans="1:5" ht="14.25" hidden="1">
      <c r="A81" s="70">
        <v>3</v>
      </c>
      <c r="B81" s="71" t="s">
        <v>13</v>
      </c>
      <c r="C81" s="72" t="s">
        <v>14</v>
      </c>
      <c r="D81" s="74" t="s">
        <v>15</v>
      </c>
      <c r="E81" s="74" t="s">
        <v>10</v>
      </c>
    </row>
    <row r="82" spans="1:5" ht="14.25" hidden="1">
      <c r="A82" s="70">
        <v>71</v>
      </c>
      <c r="B82" s="76" t="s">
        <v>181</v>
      </c>
      <c r="C82" s="76" t="s">
        <v>182</v>
      </c>
      <c r="D82" s="77" t="s">
        <v>178</v>
      </c>
      <c r="E82" s="77" t="s">
        <v>56</v>
      </c>
    </row>
    <row r="83" spans="1:5" ht="14.25" hidden="1">
      <c r="A83" s="70">
        <v>27</v>
      </c>
      <c r="B83" s="76" t="s">
        <v>74</v>
      </c>
      <c r="C83" s="76" t="s">
        <v>75</v>
      </c>
      <c r="D83" s="77" t="s">
        <v>76</v>
      </c>
      <c r="E83" s="77" t="s">
        <v>56</v>
      </c>
    </row>
    <row r="84" spans="1:5" ht="14.25" hidden="1">
      <c r="A84" s="70">
        <v>40</v>
      </c>
      <c r="B84" s="76" t="s">
        <v>101</v>
      </c>
      <c r="C84" s="76" t="s">
        <v>102</v>
      </c>
      <c r="D84" s="77" t="s">
        <v>100</v>
      </c>
      <c r="E84" s="77" t="s">
        <v>56</v>
      </c>
    </row>
    <row r="85" spans="1:5" ht="14.25" hidden="1">
      <c r="A85" s="70">
        <v>32</v>
      </c>
      <c r="B85" s="75" t="s">
        <v>84</v>
      </c>
      <c r="C85" s="75" t="s">
        <v>85</v>
      </c>
      <c r="D85" s="85" t="s">
        <v>86</v>
      </c>
      <c r="E85" s="77" t="s">
        <v>56</v>
      </c>
    </row>
    <row r="86" spans="1:5" ht="14.25" hidden="1">
      <c r="A86" s="70">
        <v>70</v>
      </c>
      <c r="B86" s="76" t="s">
        <v>179</v>
      </c>
      <c r="C86" s="76" t="s">
        <v>180</v>
      </c>
      <c r="D86" s="77" t="s">
        <v>178</v>
      </c>
      <c r="E86" s="77" t="s">
        <v>56</v>
      </c>
    </row>
    <row r="87" spans="1:5" ht="14.25" hidden="1">
      <c r="A87" s="70">
        <v>31</v>
      </c>
      <c r="B87" s="76" t="s">
        <v>82</v>
      </c>
      <c r="C87" s="76" t="s">
        <v>83</v>
      </c>
      <c r="D87" s="77" t="s">
        <v>76</v>
      </c>
      <c r="E87" s="77" t="s">
        <v>56</v>
      </c>
    </row>
    <row r="88" spans="1:5" ht="14.25" hidden="1">
      <c r="A88" s="70">
        <v>53</v>
      </c>
      <c r="B88" s="76" t="s">
        <v>134</v>
      </c>
      <c r="C88" s="76" t="s">
        <v>135</v>
      </c>
      <c r="D88" s="77" t="s">
        <v>136</v>
      </c>
      <c r="E88" s="77" t="s">
        <v>56</v>
      </c>
    </row>
    <row r="89" spans="1:5" ht="14.25" hidden="1">
      <c r="A89" s="70">
        <v>68</v>
      </c>
      <c r="B89" s="76" t="s">
        <v>173</v>
      </c>
      <c r="C89" s="76" t="s">
        <v>174</v>
      </c>
      <c r="D89" s="77" t="s">
        <v>175</v>
      </c>
      <c r="E89" s="77" t="s">
        <v>56</v>
      </c>
    </row>
    <row r="90" spans="1:5" ht="14.25" hidden="1">
      <c r="A90" s="70">
        <v>8</v>
      </c>
      <c r="B90" s="71" t="s">
        <v>27</v>
      </c>
      <c r="C90" s="72" t="s">
        <v>28</v>
      </c>
      <c r="D90" s="73" t="s">
        <v>24</v>
      </c>
      <c r="E90" s="74" t="s">
        <v>10</v>
      </c>
    </row>
    <row r="91" spans="1:5">
      <c r="A91" s="62"/>
      <c r="B91" s="62"/>
      <c r="C91" s="62"/>
      <c r="D91" s="62"/>
      <c r="E91" s="62"/>
    </row>
    <row r="94" spans="1:5" hidden="1">
      <c r="B94" s="86">
        <v>0</v>
      </c>
      <c r="C94" s="86" t="s">
        <v>361</v>
      </c>
    </row>
    <row r="95" spans="1:5" hidden="1">
      <c r="B95" s="86">
        <v>1</v>
      </c>
      <c r="C95" s="86" t="s">
        <v>361</v>
      </c>
    </row>
    <row r="96" spans="1:5" hidden="1">
      <c r="B96" s="86">
        <v>2</v>
      </c>
      <c r="C96" s="86" t="s">
        <v>361</v>
      </c>
    </row>
    <row r="97" spans="2:3" hidden="1">
      <c r="B97" s="86">
        <v>3</v>
      </c>
      <c r="C97" s="86" t="s">
        <v>361</v>
      </c>
    </row>
    <row r="98" spans="2:3" hidden="1">
      <c r="B98" s="86">
        <v>4</v>
      </c>
      <c r="C98" s="86" t="s">
        <v>361</v>
      </c>
    </row>
    <row r="99" spans="2:3" hidden="1">
      <c r="B99" s="86">
        <v>5</v>
      </c>
      <c r="C99" s="86" t="s">
        <v>361</v>
      </c>
    </row>
    <row r="100" spans="2:3" hidden="1">
      <c r="B100" s="86">
        <v>6</v>
      </c>
      <c r="C100" s="86" t="s">
        <v>361</v>
      </c>
    </row>
    <row r="101" spans="2:3" hidden="1">
      <c r="B101" s="86">
        <v>7</v>
      </c>
      <c r="C101" s="86" t="s">
        <v>361</v>
      </c>
    </row>
    <row r="102" spans="2:3" hidden="1">
      <c r="B102" s="86">
        <v>8</v>
      </c>
      <c r="C102" s="86" t="s">
        <v>361</v>
      </c>
    </row>
    <row r="103" spans="2:3" hidden="1">
      <c r="B103" s="86">
        <v>9</v>
      </c>
      <c r="C103" s="86" t="s">
        <v>361</v>
      </c>
    </row>
    <row r="104" spans="2:3" hidden="1">
      <c r="B104" s="86">
        <v>10</v>
      </c>
      <c r="C104" s="86" t="s">
        <v>361</v>
      </c>
    </row>
    <row r="105" spans="2:3" hidden="1">
      <c r="B105" s="86">
        <v>11</v>
      </c>
      <c r="C105" s="86" t="s">
        <v>361</v>
      </c>
    </row>
    <row r="106" spans="2:3" hidden="1">
      <c r="B106" s="86">
        <v>12</v>
      </c>
      <c r="C106" s="86" t="s">
        <v>361</v>
      </c>
    </row>
    <row r="107" spans="2:3" hidden="1">
      <c r="B107" s="86">
        <v>13</v>
      </c>
      <c r="C107" s="86" t="s">
        <v>361</v>
      </c>
    </row>
    <row r="108" spans="2:3" hidden="1">
      <c r="B108" s="86">
        <v>14</v>
      </c>
      <c r="C108" s="86" t="s">
        <v>361</v>
      </c>
    </row>
    <row r="109" spans="2:3" hidden="1">
      <c r="B109" s="86">
        <v>15</v>
      </c>
      <c r="C109" s="86" t="s">
        <v>361</v>
      </c>
    </row>
    <row r="110" spans="2:3" hidden="1">
      <c r="B110" s="86">
        <v>16</v>
      </c>
      <c r="C110" s="86" t="s">
        <v>361</v>
      </c>
    </row>
    <row r="111" spans="2:3" hidden="1">
      <c r="B111" s="86">
        <v>17</v>
      </c>
      <c r="C111" s="86" t="s">
        <v>361</v>
      </c>
    </row>
    <row r="112" spans="2:3" hidden="1">
      <c r="B112" s="86">
        <v>18</v>
      </c>
      <c r="C112" s="86" t="s">
        <v>361</v>
      </c>
    </row>
    <row r="113" spans="2:3" hidden="1">
      <c r="B113" s="86">
        <v>19</v>
      </c>
      <c r="C113" s="86" t="s">
        <v>361</v>
      </c>
    </row>
    <row r="114" spans="2:3" hidden="1">
      <c r="B114" s="86">
        <v>20</v>
      </c>
      <c r="C114" s="86" t="s">
        <v>361</v>
      </c>
    </row>
    <row r="115" spans="2:3" hidden="1">
      <c r="B115" s="86">
        <v>21</v>
      </c>
      <c r="C115" s="86" t="s">
        <v>361</v>
      </c>
    </row>
    <row r="116" spans="2:3" hidden="1">
      <c r="B116" s="86">
        <v>22</v>
      </c>
      <c r="C116" s="86" t="s">
        <v>361</v>
      </c>
    </row>
    <row r="117" spans="2:3" hidden="1">
      <c r="B117" s="86">
        <v>23</v>
      </c>
      <c r="C117" s="86" t="s">
        <v>361</v>
      </c>
    </row>
    <row r="118" spans="2:3" hidden="1">
      <c r="B118" s="86">
        <v>24</v>
      </c>
      <c r="C118" s="86" t="s">
        <v>361</v>
      </c>
    </row>
    <row r="119" spans="2:3" hidden="1">
      <c r="B119" s="86">
        <v>25</v>
      </c>
      <c r="C119" s="86" t="s">
        <v>361</v>
      </c>
    </row>
    <row r="120" spans="2:3" hidden="1">
      <c r="B120" s="86">
        <v>26</v>
      </c>
      <c r="C120" s="86" t="s">
        <v>361</v>
      </c>
    </row>
    <row r="121" spans="2:3" hidden="1">
      <c r="B121" s="86">
        <v>27</v>
      </c>
      <c r="C121" s="86" t="s">
        <v>361</v>
      </c>
    </row>
    <row r="122" spans="2:3" hidden="1">
      <c r="B122" s="86">
        <v>28</v>
      </c>
      <c r="C122" s="86" t="s">
        <v>361</v>
      </c>
    </row>
    <row r="123" spans="2:3" hidden="1">
      <c r="B123" s="86">
        <v>29</v>
      </c>
      <c r="C123" s="86" t="s">
        <v>361</v>
      </c>
    </row>
    <row r="124" spans="2:3" hidden="1">
      <c r="B124" s="86">
        <v>30</v>
      </c>
      <c r="C124" s="86" t="s">
        <v>361</v>
      </c>
    </row>
    <row r="125" spans="2:3" hidden="1">
      <c r="B125" s="86">
        <v>31</v>
      </c>
      <c r="C125" s="86" t="s">
        <v>361</v>
      </c>
    </row>
    <row r="126" spans="2:3" hidden="1">
      <c r="B126" s="86">
        <v>32</v>
      </c>
      <c r="C126" s="86" t="s">
        <v>361</v>
      </c>
    </row>
    <row r="127" spans="2:3" hidden="1">
      <c r="B127" s="86">
        <v>33</v>
      </c>
      <c r="C127" s="86" t="s">
        <v>361</v>
      </c>
    </row>
    <row r="128" spans="2:3" hidden="1">
      <c r="B128" s="86">
        <v>34</v>
      </c>
      <c r="C128" s="86" t="s">
        <v>361</v>
      </c>
    </row>
    <row r="129" spans="2:3" hidden="1">
      <c r="B129" s="86">
        <v>35</v>
      </c>
      <c r="C129" s="86" t="s">
        <v>361</v>
      </c>
    </row>
    <row r="130" spans="2:3" hidden="1">
      <c r="B130" s="86">
        <v>36</v>
      </c>
      <c r="C130" s="86" t="s">
        <v>361</v>
      </c>
    </row>
    <row r="131" spans="2:3" hidden="1">
      <c r="B131" s="86">
        <v>37</v>
      </c>
      <c r="C131" s="86" t="s">
        <v>361</v>
      </c>
    </row>
    <row r="132" spans="2:3" hidden="1">
      <c r="B132" s="86">
        <v>38</v>
      </c>
      <c r="C132" s="86" t="s">
        <v>361</v>
      </c>
    </row>
    <row r="133" spans="2:3" hidden="1">
      <c r="B133" s="86">
        <v>39</v>
      </c>
      <c r="C133" s="86" t="s">
        <v>361</v>
      </c>
    </row>
    <row r="134" spans="2:3" hidden="1">
      <c r="B134" s="86">
        <v>40</v>
      </c>
      <c r="C134" s="86" t="s">
        <v>362</v>
      </c>
    </row>
    <row r="135" spans="2:3" hidden="1">
      <c r="B135" s="86">
        <v>41</v>
      </c>
      <c r="C135" s="86" t="s">
        <v>362</v>
      </c>
    </row>
    <row r="136" spans="2:3" hidden="1">
      <c r="B136" s="86">
        <v>42</v>
      </c>
      <c r="C136" s="86" t="s">
        <v>362</v>
      </c>
    </row>
    <row r="137" spans="2:3" hidden="1">
      <c r="B137" s="86">
        <v>43</v>
      </c>
      <c r="C137" s="86" t="s">
        <v>362</v>
      </c>
    </row>
    <row r="138" spans="2:3" hidden="1">
      <c r="B138" s="86">
        <v>44</v>
      </c>
      <c r="C138" s="86" t="s">
        <v>362</v>
      </c>
    </row>
    <row r="139" spans="2:3" hidden="1">
      <c r="B139" s="86">
        <v>45</v>
      </c>
      <c r="C139" s="86" t="s">
        <v>362</v>
      </c>
    </row>
    <row r="140" spans="2:3" hidden="1">
      <c r="B140" s="86">
        <v>46</v>
      </c>
      <c r="C140" s="86" t="s">
        <v>362</v>
      </c>
    </row>
    <row r="141" spans="2:3" hidden="1">
      <c r="B141" s="86">
        <v>47</v>
      </c>
      <c r="C141" s="86" t="s">
        <v>362</v>
      </c>
    </row>
    <row r="142" spans="2:3" hidden="1">
      <c r="B142" s="86">
        <v>48</v>
      </c>
      <c r="C142" s="86" t="s">
        <v>362</v>
      </c>
    </row>
    <row r="143" spans="2:3" hidden="1">
      <c r="B143" s="86">
        <v>49</v>
      </c>
      <c r="C143" s="86" t="s">
        <v>362</v>
      </c>
    </row>
    <row r="144" spans="2:3" hidden="1">
      <c r="B144" s="86">
        <v>50</v>
      </c>
      <c r="C144" s="86" t="s">
        <v>363</v>
      </c>
    </row>
    <row r="145" spans="2:3" hidden="1">
      <c r="B145" s="86">
        <v>51</v>
      </c>
      <c r="C145" s="86" t="s">
        <v>363</v>
      </c>
    </row>
    <row r="146" spans="2:3" hidden="1">
      <c r="B146" s="86">
        <v>52</v>
      </c>
      <c r="C146" s="86" t="s">
        <v>363</v>
      </c>
    </row>
    <row r="147" spans="2:3" hidden="1">
      <c r="B147" s="86">
        <v>53</v>
      </c>
      <c r="C147" s="86" t="s">
        <v>363</v>
      </c>
    </row>
    <row r="148" spans="2:3" hidden="1">
      <c r="B148" s="86">
        <v>54</v>
      </c>
      <c r="C148" s="86" t="s">
        <v>363</v>
      </c>
    </row>
    <row r="149" spans="2:3" hidden="1">
      <c r="B149" s="86">
        <v>55</v>
      </c>
      <c r="C149" s="86" t="s">
        <v>363</v>
      </c>
    </row>
    <row r="150" spans="2:3" hidden="1">
      <c r="B150" s="86">
        <v>56</v>
      </c>
      <c r="C150" s="86" t="s">
        <v>363</v>
      </c>
    </row>
    <row r="151" spans="2:3" hidden="1">
      <c r="B151" s="86">
        <v>57</v>
      </c>
      <c r="C151" s="86" t="s">
        <v>363</v>
      </c>
    </row>
    <row r="152" spans="2:3" hidden="1">
      <c r="B152" s="86">
        <v>58</v>
      </c>
      <c r="C152" s="86" t="s">
        <v>363</v>
      </c>
    </row>
    <row r="153" spans="2:3" hidden="1">
      <c r="B153" s="86">
        <v>59</v>
      </c>
      <c r="C153" s="86" t="s">
        <v>363</v>
      </c>
    </row>
    <row r="154" spans="2:3" hidden="1">
      <c r="B154" s="86">
        <v>60</v>
      </c>
      <c r="C154" s="86" t="s">
        <v>364</v>
      </c>
    </row>
    <row r="155" spans="2:3" hidden="1">
      <c r="B155" s="86">
        <v>61</v>
      </c>
      <c r="C155" s="86" t="s">
        <v>364</v>
      </c>
    </row>
    <row r="156" spans="2:3" hidden="1">
      <c r="B156" s="86">
        <v>62</v>
      </c>
      <c r="C156" s="86" t="s">
        <v>364</v>
      </c>
    </row>
    <row r="157" spans="2:3" hidden="1">
      <c r="B157" s="86">
        <v>63</v>
      </c>
      <c r="C157" s="86" t="s">
        <v>364</v>
      </c>
    </row>
    <row r="158" spans="2:3" hidden="1">
      <c r="B158" s="86">
        <v>64</v>
      </c>
      <c r="C158" s="86" t="s">
        <v>364</v>
      </c>
    </row>
    <row r="159" spans="2:3" hidden="1">
      <c r="B159" s="86">
        <v>65</v>
      </c>
      <c r="C159" s="86" t="s">
        <v>364</v>
      </c>
    </row>
    <row r="160" spans="2:3" hidden="1">
      <c r="B160" s="86">
        <v>66</v>
      </c>
      <c r="C160" s="86" t="s">
        <v>364</v>
      </c>
    </row>
    <row r="161" spans="2:3" hidden="1">
      <c r="B161" s="86">
        <v>67</v>
      </c>
      <c r="C161" s="86" t="s">
        <v>364</v>
      </c>
    </row>
    <row r="162" spans="2:3" hidden="1">
      <c r="B162" s="86">
        <v>68</v>
      </c>
      <c r="C162" s="86" t="s">
        <v>364</v>
      </c>
    </row>
    <row r="163" spans="2:3" hidden="1">
      <c r="B163" s="86">
        <v>69</v>
      </c>
      <c r="C163" s="86" t="s">
        <v>364</v>
      </c>
    </row>
    <row r="164" spans="2:3" hidden="1">
      <c r="B164" s="86">
        <v>70</v>
      </c>
      <c r="C164" s="86" t="s">
        <v>364</v>
      </c>
    </row>
    <row r="165" spans="2:3" hidden="1">
      <c r="B165" s="86">
        <v>71</v>
      </c>
      <c r="C165" s="86" t="s">
        <v>364</v>
      </c>
    </row>
    <row r="166" spans="2:3" hidden="1">
      <c r="B166" s="86">
        <v>72</v>
      </c>
      <c r="C166" s="86" t="s">
        <v>364</v>
      </c>
    </row>
    <row r="167" spans="2:3" hidden="1">
      <c r="B167" s="86">
        <v>73</v>
      </c>
      <c r="C167" s="86" t="s">
        <v>364</v>
      </c>
    </row>
    <row r="168" spans="2:3" hidden="1">
      <c r="B168" s="86">
        <v>74</v>
      </c>
      <c r="C168" s="86" t="s">
        <v>364</v>
      </c>
    </row>
    <row r="169" spans="2:3" hidden="1">
      <c r="B169" s="86">
        <v>75</v>
      </c>
      <c r="C169" s="86" t="s">
        <v>364</v>
      </c>
    </row>
    <row r="170" spans="2:3" hidden="1">
      <c r="B170" s="86">
        <v>76</v>
      </c>
      <c r="C170" s="86" t="s">
        <v>364</v>
      </c>
    </row>
    <row r="171" spans="2:3" hidden="1">
      <c r="B171" s="86">
        <v>77</v>
      </c>
      <c r="C171" s="86" t="s">
        <v>364</v>
      </c>
    </row>
    <row r="172" spans="2:3" hidden="1">
      <c r="B172" s="86">
        <v>78</v>
      </c>
      <c r="C172" s="86" t="s">
        <v>364</v>
      </c>
    </row>
    <row r="173" spans="2:3" hidden="1">
      <c r="B173" s="86">
        <v>79</v>
      </c>
      <c r="C173" s="86" t="s">
        <v>364</v>
      </c>
    </row>
    <row r="174" spans="2:3" hidden="1">
      <c r="B174" s="86">
        <v>80</v>
      </c>
      <c r="C174" s="86" t="s">
        <v>365</v>
      </c>
    </row>
    <row r="175" spans="2:3" hidden="1">
      <c r="B175" s="86">
        <v>81</v>
      </c>
      <c r="C175" s="86" t="s">
        <v>365</v>
      </c>
    </row>
    <row r="176" spans="2:3" hidden="1">
      <c r="B176" s="86">
        <v>82</v>
      </c>
      <c r="C176" s="86" t="s">
        <v>365</v>
      </c>
    </row>
    <row r="177" spans="2:3" hidden="1">
      <c r="B177" s="86">
        <v>83</v>
      </c>
      <c r="C177" s="86" t="s">
        <v>365</v>
      </c>
    </row>
    <row r="178" spans="2:3" hidden="1">
      <c r="B178" s="86">
        <v>84</v>
      </c>
      <c r="C178" s="86" t="s">
        <v>365</v>
      </c>
    </row>
    <row r="179" spans="2:3" hidden="1">
      <c r="B179" s="86">
        <v>85</v>
      </c>
      <c r="C179" s="86" t="s">
        <v>365</v>
      </c>
    </row>
    <row r="180" spans="2:3" hidden="1">
      <c r="B180" s="86">
        <v>86</v>
      </c>
      <c r="C180" s="86" t="s">
        <v>365</v>
      </c>
    </row>
    <row r="181" spans="2:3" hidden="1">
      <c r="B181" s="86">
        <v>87</v>
      </c>
      <c r="C181" s="86" t="s">
        <v>365</v>
      </c>
    </row>
    <row r="182" spans="2:3" hidden="1">
      <c r="B182" s="86">
        <v>88</v>
      </c>
      <c r="C182" s="86" t="s">
        <v>365</v>
      </c>
    </row>
    <row r="183" spans="2:3" hidden="1">
      <c r="B183" s="86">
        <v>89</v>
      </c>
      <c r="C183" s="86" t="s">
        <v>365</v>
      </c>
    </row>
    <row r="184" spans="2:3" hidden="1">
      <c r="B184" s="86">
        <v>90</v>
      </c>
      <c r="C184" s="86" t="s">
        <v>365</v>
      </c>
    </row>
    <row r="185" spans="2:3" hidden="1">
      <c r="B185" s="86">
        <v>91</v>
      </c>
      <c r="C185" s="86" t="s">
        <v>365</v>
      </c>
    </row>
    <row r="186" spans="2:3" hidden="1">
      <c r="B186" s="86">
        <v>92</v>
      </c>
      <c r="C186" s="86" t="s">
        <v>365</v>
      </c>
    </row>
    <row r="187" spans="2:3" hidden="1">
      <c r="B187" s="86">
        <v>93</v>
      </c>
      <c r="C187" s="86" t="s">
        <v>365</v>
      </c>
    </row>
    <row r="188" spans="2:3" hidden="1">
      <c r="B188" s="86">
        <v>94</v>
      </c>
      <c r="C188" s="86" t="s">
        <v>365</v>
      </c>
    </row>
    <row r="189" spans="2:3" hidden="1">
      <c r="B189" s="86">
        <v>95</v>
      </c>
      <c r="C189" s="86" t="s">
        <v>365</v>
      </c>
    </row>
    <row r="190" spans="2:3" hidden="1">
      <c r="B190" s="86">
        <v>96</v>
      </c>
      <c r="C190" s="86" t="s">
        <v>365</v>
      </c>
    </row>
    <row r="191" spans="2:3" hidden="1">
      <c r="B191" s="86">
        <v>97</v>
      </c>
      <c r="C191" s="86" t="s">
        <v>365</v>
      </c>
    </row>
    <row r="192" spans="2:3" hidden="1">
      <c r="B192" s="86">
        <v>98</v>
      </c>
      <c r="C192" s="86" t="s">
        <v>365</v>
      </c>
    </row>
    <row r="193" spans="2:3" hidden="1">
      <c r="B193" s="86">
        <v>99</v>
      </c>
      <c r="C193" s="86" t="s">
        <v>365</v>
      </c>
    </row>
    <row r="194" spans="2:3" hidden="1">
      <c r="B194" s="86">
        <v>100</v>
      </c>
      <c r="C194" s="86" t="s">
        <v>365</v>
      </c>
    </row>
    <row r="195" spans="2:3" hidden="1">
      <c r="B195" s="86">
        <v>101</v>
      </c>
      <c r="C195" s="86" t="s">
        <v>365</v>
      </c>
    </row>
    <row r="196" spans="2:3" hidden="1">
      <c r="B196" s="86">
        <v>102</v>
      </c>
      <c r="C196" s="86" t="s">
        <v>365</v>
      </c>
    </row>
    <row r="197" spans="2:3" hidden="1">
      <c r="B197" s="86">
        <v>103</v>
      </c>
      <c r="C197" s="86" t="s">
        <v>365</v>
      </c>
    </row>
    <row r="198" spans="2:3" hidden="1">
      <c r="B198" s="86">
        <v>104</v>
      </c>
      <c r="C198" s="86" t="s">
        <v>365</v>
      </c>
    </row>
    <row r="199" spans="2:3" hidden="1">
      <c r="B199" s="86">
        <v>105</v>
      </c>
      <c r="C199" s="86" t="s">
        <v>365</v>
      </c>
    </row>
    <row r="200" spans="2:3" hidden="1">
      <c r="B200" s="86">
        <v>106</v>
      </c>
      <c r="C200" s="86" t="s">
        <v>365</v>
      </c>
    </row>
    <row r="201" spans="2:3" hidden="1">
      <c r="B201" s="86">
        <v>107</v>
      </c>
      <c r="C201" s="86" t="s">
        <v>365</v>
      </c>
    </row>
    <row r="202" spans="2:3" hidden="1">
      <c r="B202" s="86">
        <v>108</v>
      </c>
      <c r="C202" s="86" t="s">
        <v>365</v>
      </c>
    </row>
    <row r="203" spans="2:3" hidden="1">
      <c r="B203" s="86">
        <v>109</v>
      </c>
      <c r="C203" s="86" t="s">
        <v>365</v>
      </c>
    </row>
    <row r="204" spans="2:3" hidden="1">
      <c r="B204" s="86">
        <v>110</v>
      </c>
      <c r="C204" s="86" t="s">
        <v>365</v>
      </c>
    </row>
    <row r="205" spans="2:3" hidden="1"/>
    <row r="206" spans="2:3" hidden="1"/>
    <row r="207" spans="2:3" hidden="1"/>
    <row r="208" spans="2:3" hidden="1">
      <c r="C208" s="86" t="s">
        <v>362</v>
      </c>
    </row>
    <row r="209" spans="3:3" hidden="1">
      <c r="C209" s="86" t="s">
        <v>363</v>
      </c>
    </row>
    <row r="210" spans="3:3" hidden="1">
      <c r="C210" s="86" t="s">
        <v>364</v>
      </c>
    </row>
    <row r="211" spans="3:3" hidden="1">
      <c r="C211" s="86" t="s">
        <v>365</v>
      </c>
    </row>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99</vt:i4>
      </vt:variant>
    </vt:vector>
  </HeadingPairs>
  <TitlesOfParts>
    <vt:vector size="102" baseType="lpstr">
      <vt:lpstr>Scoresheet</vt:lpstr>
      <vt:lpstr>References</vt:lpstr>
      <vt:lpstr>LocationList</vt:lpstr>
      <vt:lpstr>Align</vt:lpstr>
      <vt:lpstr>EA1.1</vt:lpstr>
      <vt:lpstr>EA2.1</vt:lpstr>
      <vt:lpstr>EA3.1</vt:lpstr>
      <vt:lpstr>EA4.1</vt:lpstr>
      <vt:lpstr>EA5.1</vt:lpstr>
      <vt:lpstr>EAPR1</vt:lpstr>
      <vt:lpstr>EAPR2</vt:lpstr>
      <vt:lpstr>EAPR3</vt:lpstr>
      <vt:lpstr>EQ3.1</vt:lpstr>
      <vt:lpstr>EQ3.2</vt:lpstr>
      <vt:lpstr>EQ4.1</vt:lpstr>
      <vt:lpstr>EQ6.1</vt:lpstr>
      <vt:lpstr>EQ7.1</vt:lpstr>
      <vt:lpstr>EQ8.1</vt:lpstr>
      <vt:lpstr>EQPR1</vt:lpstr>
      <vt:lpstr>EQPR2</vt:lpstr>
      <vt:lpstr>HPSBI.1</vt:lpstr>
      <vt:lpstr>HPSBI.1_Ref</vt:lpstr>
      <vt:lpstr>HPSBI.2</vt:lpstr>
      <vt:lpstr>HPSBI.2_Ref</vt:lpstr>
      <vt:lpstr>HPSBII.1</vt:lpstr>
      <vt:lpstr>HPSBII.1_Ref</vt:lpstr>
      <vt:lpstr>HPSBII.2</vt:lpstr>
      <vt:lpstr>HPSBII.2_Ref</vt:lpstr>
      <vt:lpstr>HPSBII.3</vt:lpstr>
      <vt:lpstr>HPSBII.3_Ref</vt:lpstr>
      <vt:lpstr>HPSBII.4</vt:lpstr>
      <vt:lpstr>HPSBII.4_Ref</vt:lpstr>
      <vt:lpstr>HPSBII.5</vt:lpstr>
      <vt:lpstr>HPSBII.5_Ref</vt:lpstr>
      <vt:lpstr>HPSBII.6</vt:lpstr>
      <vt:lpstr>HPSBII.6_Ref</vt:lpstr>
      <vt:lpstr>HPSBIII.1</vt:lpstr>
      <vt:lpstr>HPSBIII.1_Ref</vt:lpstr>
      <vt:lpstr>HPSBIII.2</vt:lpstr>
      <vt:lpstr>HPSBIII.2_Ref</vt:lpstr>
      <vt:lpstr>HPSBIII.3</vt:lpstr>
      <vt:lpstr>HPSBIII.3_Ref</vt:lpstr>
      <vt:lpstr>HPSBIII.4</vt:lpstr>
      <vt:lpstr>HPSBIII.4_Ref</vt:lpstr>
      <vt:lpstr>HPSBIII.5</vt:lpstr>
      <vt:lpstr>HPSBIII.5_Ref</vt:lpstr>
      <vt:lpstr>HPSBIII.6</vt:lpstr>
      <vt:lpstr>HPSBIII.6_Ref</vt:lpstr>
      <vt:lpstr>HPSBIII.7</vt:lpstr>
      <vt:lpstr>HPSBIII.7_Ref</vt:lpstr>
      <vt:lpstr>HPSBIV.1</vt:lpstr>
      <vt:lpstr>HPSBIV.1_Ref</vt:lpstr>
      <vt:lpstr>HPSBIV.2</vt:lpstr>
      <vt:lpstr>HPSBIV.2_Ref</vt:lpstr>
      <vt:lpstr>HPSBIV.3</vt:lpstr>
      <vt:lpstr>HPSBIV.3_Ref</vt:lpstr>
      <vt:lpstr>HPSBIV.4</vt:lpstr>
      <vt:lpstr>HPSBIV.4_Ref</vt:lpstr>
      <vt:lpstr>HPSBIV.5</vt:lpstr>
      <vt:lpstr>HPSBIV.5_Ref</vt:lpstr>
      <vt:lpstr>HPSBIV.6</vt:lpstr>
      <vt:lpstr>HPSBIV.6_Ref</vt:lpstr>
      <vt:lpstr>HPSBIV.7</vt:lpstr>
      <vt:lpstr>HPSBIV.7_Ref</vt:lpstr>
      <vt:lpstr>HPSBIV.8</vt:lpstr>
      <vt:lpstr>HPSBIV.8_Ref</vt:lpstr>
      <vt:lpstr>HPSBIV.9</vt:lpstr>
      <vt:lpstr>HPSBIV.9_Ref</vt:lpstr>
      <vt:lpstr>HPSBV.1</vt:lpstr>
      <vt:lpstr>HPSBV.1_Ref</vt:lpstr>
      <vt:lpstr>HPSBV.2</vt:lpstr>
      <vt:lpstr>HPSBV.2_Ref</vt:lpstr>
      <vt:lpstr>HPSBV.3</vt:lpstr>
      <vt:lpstr>HPSBV.3_Ref</vt:lpstr>
      <vt:lpstr>HPSBV.4</vt:lpstr>
      <vt:lpstr>HPSBV.4_Ref</vt:lpstr>
      <vt:lpstr>HPSBV.5</vt:lpstr>
      <vt:lpstr>HPSBV.5_Ref</vt:lpstr>
      <vt:lpstr>HPSBV.6</vt:lpstr>
      <vt:lpstr>HPSBV.6_Ref</vt:lpstr>
      <vt:lpstr>Installation</vt:lpstr>
      <vt:lpstr>Installations</vt:lpstr>
      <vt:lpstr>Levels</vt:lpstr>
      <vt:lpstr>Meet</vt:lpstr>
      <vt:lpstr>MR2.1</vt:lpstr>
      <vt:lpstr>MR4.1</vt:lpstr>
      <vt:lpstr>MR4.2</vt:lpstr>
      <vt:lpstr>MR6.1</vt:lpstr>
      <vt:lpstr>MRPR1</vt:lpstr>
      <vt:lpstr>OtherII.7</vt:lpstr>
      <vt:lpstr>OtherII.7_Ref</vt:lpstr>
      <vt:lpstr>OtherII.8</vt:lpstr>
      <vt:lpstr>OtherII.8_Ref</vt:lpstr>
      <vt:lpstr>Scoresheet!Print_Area</vt:lpstr>
      <vt:lpstr>Scoresheet!Print_Titles</vt:lpstr>
      <vt:lpstr>SS6.1</vt:lpstr>
      <vt:lpstr>SS6.2</vt:lpstr>
      <vt:lpstr>SSPR1</vt:lpstr>
      <vt:lpstr>WE1.1</vt:lpstr>
      <vt:lpstr>WE1.2</vt:lpstr>
      <vt:lpstr>WE3.1</vt:lpstr>
      <vt:lpstr>WEPR1</vt:lpstr>
    </vt:vector>
  </TitlesOfParts>
  <Company>LMI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jkalloz</dc:creator>
  <cp:lastModifiedBy>k6enxjfm</cp:lastModifiedBy>
  <cp:lastPrinted>2010-04-30T20:48:34Z</cp:lastPrinted>
  <dcterms:created xsi:type="dcterms:W3CDTF">2009-07-09T16:18:31Z</dcterms:created>
  <dcterms:modified xsi:type="dcterms:W3CDTF">2011-10-28T12:46:35Z</dcterms:modified>
</cp:coreProperties>
</file>