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jpeg" ContentType="image/jpeg"/>
  <Override PartName="/xl/drawings/drawing4.xml" ContentType="application/vnd.openxmlformats-officedocument.drawingml.chartshapes+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updateLinks="never" codeName="ThisWorkbook"/>
  <bookViews>
    <workbookView xWindow="-12" yWindow="-12" windowWidth="14700" windowHeight="8328" tabRatio="787" activeTab="1"/>
  </bookViews>
  <sheets>
    <sheet name="E&amp;S_RECORD_CARD" sheetId="216" r:id="rId1"/>
    <sheet name="Building_Data" sheetId="217" r:id="rId2"/>
    <sheet name="Mandates_Worksheet" sheetId="220" r:id="rId3"/>
    <sheet name="HPSB_Guiding_Principles_Wksht" sheetId="226" r:id="rId4"/>
    <sheet name="LEED_Worksheet" sheetId="227" r:id="rId5"/>
    <sheet name="HELP" sheetId="225" r:id="rId6"/>
  </sheets>
  <externalReferences>
    <externalReference r:id="rId7"/>
  </externalReferences>
  <definedNames>
    <definedName name="Align">HELP!$B$4</definedName>
    <definedName name="APPLIM">#REF!</definedName>
    <definedName name="BRAC">#REF!</definedName>
    <definedName name="conj_percent">#REF!</definedName>
    <definedName name="CWE">#REF!</definedName>
    <definedName name="EA1.1" localSheetId="4">LEED_Worksheet!$D$54</definedName>
    <definedName name="EA1.1">HPSB_Guiding_Principles_Wksht!#REF!</definedName>
    <definedName name="EA2.1" localSheetId="4">LEED_Worksheet!$D$74</definedName>
    <definedName name="EA2.1">HPSB_Guiding_Principles_Wksht!#REF!</definedName>
    <definedName name="EA3.1" localSheetId="4">LEED_Worksheet!$D$82</definedName>
    <definedName name="EA3.1">HPSB_Guiding_Principles_Wksht!#REF!</definedName>
    <definedName name="EA4.1" localSheetId="4">LEED_Worksheet!$D$83</definedName>
    <definedName name="EA4.1">HPSB_Guiding_Principles_Wksht!#REF!</definedName>
    <definedName name="EA5.1" localSheetId="4">LEED_Worksheet!$D$84</definedName>
    <definedName name="EA5.1">HPSB_Guiding_Principles_Wksht!#REF!</definedName>
    <definedName name="EAPR1" localSheetId="4">LEED_Worksheet!$D$51</definedName>
    <definedName name="EAPR1">HPSB_Guiding_Principles_Wksht!#REF!</definedName>
    <definedName name="EAPR2" localSheetId="4">LEED_Worksheet!$D$52</definedName>
    <definedName name="EAPR2">HPSB_Guiding_Principles_Wksht!#REF!</definedName>
    <definedName name="EAPR3" localSheetId="4">LEED_Worksheet!$D$53</definedName>
    <definedName name="EAPR3">HPSB_Guiding_Principles_Wksht!#REF!</definedName>
    <definedName name="EISA2007II.7" localSheetId="4">LEED_Worksheet!#REF!</definedName>
    <definedName name="EISA2007II.7">HPSB_Guiding_Principles_Wksht!$B$48</definedName>
    <definedName name="EISA2007II.7_Ref">HELP!$A$42</definedName>
    <definedName name="EISA2007II.8" localSheetId="4">LEED_Worksheet!#REF!</definedName>
    <definedName name="EISA2007II.8">HPSB_Guiding_Principles_Wksht!$B$49</definedName>
    <definedName name="EISA2007II.8_Ref">HELP!$A$46</definedName>
    <definedName name="Energy_Water">HELP!$B$7</definedName>
    <definedName name="EQ3.1" localSheetId="4">LEED_Worksheet!$D$114</definedName>
    <definedName name="EQ3.1">HPSB_Guiding_Principles_Wksht!#REF!</definedName>
    <definedName name="EQ3.2" localSheetId="4">LEED_Worksheet!$D$115</definedName>
    <definedName name="EQ3.2">HPSB_Guiding_Principles_Wksht!#REF!</definedName>
    <definedName name="EQ4.1" localSheetId="4">LEED_Worksheet!$D$116</definedName>
    <definedName name="EQ4.1">HPSB_Guiding_Principles_Wksht!#REF!</definedName>
    <definedName name="EQ6.1" localSheetId="4">LEED_Worksheet!$D$121</definedName>
    <definedName name="EQ6.1">HPSB_Guiding_Principles_Wksht!#REF!</definedName>
    <definedName name="EQ7.1" localSheetId="4">LEED_Worksheet!$D$123</definedName>
    <definedName name="EQ7.1">HPSB_Guiding_Principles_Wksht!#REF!</definedName>
    <definedName name="EQ8.1" localSheetId="4">LEED_Worksheet!$D$125</definedName>
    <definedName name="EQ8.1">HPSB_Guiding_Principles_Wksht!#REF!</definedName>
    <definedName name="EQPR1" localSheetId="4">LEED_Worksheet!$D$110</definedName>
    <definedName name="EQPR1">HPSB_Guiding_Principles_Wksht!#REF!</definedName>
    <definedName name="EQPR2" localSheetId="4">LEED_Worksheet!$D$111</definedName>
    <definedName name="EQPR2">HPSB_Guiding_Principles_Wksht!#REF!</definedName>
    <definedName name="FT">#REF!</definedName>
    <definedName name="HPSBI.1" localSheetId="4">LEED_Worksheet!#REF!</definedName>
    <definedName name="HPSBI.1">HPSB_Guiding_Principles_Wksht!$B$13</definedName>
    <definedName name="HPSBI.1_Ref">HELP!$A$9</definedName>
    <definedName name="HPSBI.2" localSheetId="4">LEED_Worksheet!#REF!</definedName>
    <definedName name="HPSBI.2">HPSB_Guiding_Principles_Wksht!$B$14</definedName>
    <definedName name="HPSBI.2_Ref">HELP!$A$13</definedName>
    <definedName name="HPSBII.1" localSheetId="4">LEED_Worksheet!#REF!</definedName>
    <definedName name="HPSBII.1">HPSB_Guiding_Principles_Wksht!$B$17</definedName>
    <definedName name="HPSBII.1_Ref">HELP!$A$18</definedName>
    <definedName name="HPSBII.2" localSheetId="4">LEED_Worksheet!#REF!</definedName>
    <definedName name="HPSBII.2">HPSB_Guiding_Principles_Wksht!$B$29</definedName>
    <definedName name="HPSBII.2_Ref">HELP!$A$22</definedName>
    <definedName name="HPSBII.3" localSheetId="4">LEED_Worksheet!#REF!</definedName>
    <definedName name="HPSBII.3">HPSB_Guiding_Principles_Wksht!$B$30</definedName>
    <definedName name="HPSBII.3_Ref">HELP!$A$26</definedName>
    <definedName name="HPSBII.4" localSheetId="4">LEED_Worksheet!#REF!</definedName>
    <definedName name="HPSBII.4">HPSB_Guiding_Principles_Wksht!$B$34</definedName>
    <definedName name="HPSBII.4_Ref">HELP!$A$30</definedName>
    <definedName name="HPSBII.5" localSheetId="4">LEED_Worksheet!#REF!</definedName>
    <definedName name="HPSBII.5">HPSB_Guiding_Principles_Wksht!$B$42</definedName>
    <definedName name="HPSBII.5_Ref">HELP!$A$34</definedName>
    <definedName name="HPSBII.6" localSheetId="4">LEED_Worksheet!#REF!</definedName>
    <definedName name="HPSBII.6">HPSB_Guiding_Principles_Wksht!$B$47</definedName>
    <definedName name="HPSBII.6_Ref">HELP!$A$38</definedName>
    <definedName name="HPSBII.7" localSheetId="4">LEED_Worksheet!#REF!</definedName>
    <definedName name="HPSBII.7">HPSB_Guiding_Principles_Wksht!$B$48</definedName>
    <definedName name="HPSBII.7_Ref">HELP!$A$42</definedName>
    <definedName name="HPSBII.8" localSheetId="4">LEED_Worksheet!#REF!</definedName>
    <definedName name="HPSBII.8">HPSB_Guiding_Principles_Wksht!$B$49</definedName>
    <definedName name="HPSBII.8_Ref">HELP!$A$46</definedName>
    <definedName name="HPSBIII.1" localSheetId="4">LEED_Worksheet!#REF!</definedName>
    <definedName name="HPSBIII.1">HPSB_Guiding_Principles_Wksht!$B$52</definedName>
    <definedName name="HPSBIII.1_Ref">HELP!$A$51</definedName>
    <definedName name="HPSBIII.2" localSheetId="4">LEED_Worksheet!#REF!</definedName>
    <definedName name="HPSBIII.2">HPSB_Guiding_Principles_Wksht!$B$54</definedName>
    <definedName name="HPSBIII.2_Ref">HELP!$A$55</definedName>
    <definedName name="HPSBIII.3" localSheetId="4">LEED_Worksheet!#REF!</definedName>
    <definedName name="HPSBIII.3">HPSB_Guiding_Principles_Wksht!$B$55</definedName>
    <definedName name="HPSBIII.3_Ref">HELP!$A$59</definedName>
    <definedName name="HPSBIII.4" localSheetId="4">LEED_Worksheet!#REF!</definedName>
    <definedName name="HPSBIII.4">HPSB_Guiding_Principles_Wksht!$B$56</definedName>
    <definedName name="HPSBIII.4_Ref">HELP!$A$63</definedName>
    <definedName name="HPSBIII.5" localSheetId="4">LEED_Worksheet!#REF!</definedName>
    <definedName name="HPSBIII.5">HPSB_Guiding_Principles_Wksht!$B$58</definedName>
    <definedName name="HPSBIII.5_Ref">HELP!$A$67</definedName>
    <definedName name="HPSBIII.6" localSheetId="4">LEED_Worksheet!#REF!</definedName>
    <definedName name="HPSBIII.6">HPSB_Guiding_Principles_Wksht!$B$61</definedName>
    <definedName name="HPSBIII.6_Ref">HELP!$A$71</definedName>
    <definedName name="HPSBIII.7" localSheetId="4">LEED_Worksheet!#REF!</definedName>
    <definedName name="HPSBIII.7">HPSB_Guiding_Principles_Wksht!$B$62</definedName>
    <definedName name="HPSBIII.7_Ref">HELP!$A$75</definedName>
    <definedName name="HPSBIV.1" localSheetId="4">LEED_Worksheet!#REF!</definedName>
    <definedName name="HPSBIV.1">HPSB_Guiding_Principles_Wksht!$B$65</definedName>
    <definedName name="HPSBIV.1_Ref">HELP!$A$80</definedName>
    <definedName name="HPSBIV.2" localSheetId="4">LEED_Worksheet!#REF!</definedName>
    <definedName name="HPSBIV.2">HPSB_Guiding_Principles_Wksht!$B$66</definedName>
    <definedName name="HPSBIV.2_Ref">HELP!$A$84</definedName>
    <definedName name="HPSBIV.3" localSheetId="4">LEED_Worksheet!#REF!</definedName>
    <definedName name="HPSBIV.3">HPSB_Guiding_Principles_Wksht!$B$67</definedName>
    <definedName name="HPSBIV.3_Ref">HELP!$A$88</definedName>
    <definedName name="HPSBIV.4" localSheetId="4">LEED_Worksheet!#REF!</definedName>
    <definedName name="HPSBIV.4">HPSB_Guiding_Principles_Wksht!$B$68</definedName>
    <definedName name="HPSBIV.4_Ref">HELP!$A$92</definedName>
    <definedName name="HPSBIV.5" localSheetId="4">LEED_Worksheet!#REF!</definedName>
    <definedName name="HPSBIV.5">HPSB_Guiding_Principles_Wksht!$B$69</definedName>
    <definedName name="HPSBIV.5_Ref">HELP!$A$96</definedName>
    <definedName name="HPSBIV.6" localSheetId="4">LEED_Worksheet!#REF!</definedName>
    <definedName name="HPSBIV.6">HPSB_Guiding_Principles_Wksht!$B$70</definedName>
    <definedName name="HPSBIV.6_Ref">HELP!$A$100</definedName>
    <definedName name="HPSBIV.7" localSheetId="4">LEED_Worksheet!#REF!</definedName>
    <definedName name="HPSBIV.7">HPSB_Guiding_Principles_Wksht!$B$71</definedName>
    <definedName name="HPSBIV.7_Ref">HELP!$A$104</definedName>
    <definedName name="HPSBIV.8" localSheetId="4">LEED_Worksheet!#REF!</definedName>
    <definedName name="HPSBIV.8">HPSB_Guiding_Principles_Wksht!$B$72</definedName>
    <definedName name="HPSBIV.8_Ref">HELP!$A$108</definedName>
    <definedName name="HPSBIV.9" localSheetId="4">LEED_Worksheet!#REF!</definedName>
    <definedName name="HPSBIV.9">HPSB_Guiding_Principles_Wksht!$B$73</definedName>
    <definedName name="HPSBIV.9_Ref">HELP!$A$112</definedName>
    <definedName name="HPSBV.1" localSheetId="4">LEED_Worksheet!#REF!</definedName>
    <definedName name="HPSBV.1">HPSB_Guiding_Principles_Wksht!$B$76</definedName>
    <definedName name="HPSBV.1_Ref">HELP!$A$117</definedName>
    <definedName name="HPSBV.2" localSheetId="4">LEED_Worksheet!#REF!</definedName>
    <definedName name="HPSBV.2">HPSB_Guiding_Principles_Wksht!$B$77</definedName>
    <definedName name="HPSBV.2_Ref">HELP!$A$121</definedName>
    <definedName name="HPSBV.3" localSheetId="4">LEED_Worksheet!#REF!</definedName>
    <definedName name="HPSBV.3">HPSB_Guiding_Principles_Wksht!$B$78</definedName>
    <definedName name="HPSBV.3_Ref">HELP!$A$125</definedName>
    <definedName name="HPSBV.4" localSheetId="4">LEED_Worksheet!#REF!</definedName>
    <definedName name="HPSBV.4">HPSB_Guiding_Principles_Wksht!$B$79</definedName>
    <definedName name="HPSBV.4_Ref">HELP!$A$129</definedName>
    <definedName name="HPSBV.5" localSheetId="4">LEED_Worksheet!#REF!</definedName>
    <definedName name="HPSBV.5">HPSB_Guiding_Principles_Wksht!$B$80</definedName>
    <definedName name="HPSBV.5_Ref">HELP!$A$133</definedName>
    <definedName name="HPSBV.6" localSheetId="4">LEED_Worksheet!#REF!</definedName>
    <definedName name="HPSBV.6">HPSB_Guiding_Principles_Wksht!$B$81</definedName>
    <definedName name="HPSBV.6_Ref">HELP!$A$137</definedName>
    <definedName name="Indicators">Mandates_Worksheet!#REF!</definedName>
    <definedName name="Installation">[1]LocationList!$B$4:$B$90</definedName>
    <definedName name="Levels">[1]LocationList!$C$208:$C$211</definedName>
    <definedName name="Meet">HELP!$B$5</definedName>
    <definedName name="MR2.1" localSheetId="4">LEED_Worksheet!$D$94</definedName>
    <definedName name="MR2.1">HPSB_Guiding_Principles_Wksht!#REF!</definedName>
    <definedName name="MR4.1" localSheetId="4">LEED_Worksheet!$D$100</definedName>
    <definedName name="MR4.1">HPSB_Guiding_Principles_Wksht!#REF!</definedName>
    <definedName name="MR4.2">[1]Scoresheet!#REF!</definedName>
    <definedName name="MR6.1" localSheetId="4">LEED_Worksheet!$D$106</definedName>
    <definedName name="MR6.1">HPSB_Guiding_Principles_Wksht!#REF!</definedName>
    <definedName name="MRPR1" localSheetId="4">LEED_Worksheet!$D$88</definedName>
    <definedName name="MRPR1">HPSB_Guiding_Principles_Wksht!#REF!</definedName>
    <definedName name="obl_rate">#REF!</definedName>
    <definedName name="OLE_LINK1" localSheetId="2">Mandates_Worksheet!#REF!</definedName>
    <definedName name="OLE_LINK3" localSheetId="2">Mandates_Worksheet!$A$6</definedName>
    <definedName name="OtherII.7" localSheetId="4">LEED_Worksheet!#REF!</definedName>
    <definedName name="OtherII.7">HPSB_Guiding_Principles_Wksht!$B$48</definedName>
    <definedName name="OtherII.7_Ref">HELP!$A$42</definedName>
    <definedName name="OtherII.8" localSheetId="4">LEED_Worksheet!#REF!</definedName>
    <definedName name="OtherII.8">HPSB_Guiding_Principles_Wksht!$B$49</definedName>
    <definedName name="OtherII.8_Ref">HELP!$A$46</definedName>
    <definedName name="PA">#REF!</definedName>
    <definedName name="_xlnm.Print_Area" localSheetId="1">Building_Data!$A$1:$F$104</definedName>
    <definedName name="_xlnm.Print_Area" localSheetId="0">'E&amp;S_RECORD_CARD'!$B$2:$K$33</definedName>
    <definedName name="_xlnm.Print_Area" localSheetId="3">HPSB_Guiding_Principles_Wksht!$A$1:$F$87</definedName>
    <definedName name="_xlnm.Print_Area" localSheetId="4">LEED_Worksheet!$A$1:$F$160</definedName>
    <definedName name="_xlnm.Print_Area" localSheetId="2">Mandates_Worksheet!$A$1:$F$40</definedName>
    <definedName name="_xlnm.Print_Titles" localSheetId="5">HELP!$1:$1</definedName>
    <definedName name="_xlnm.Print_Titles" localSheetId="3">HPSB_Guiding_Principles_Wksht!#REF!</definedName>
    <definedName name="_xlnm.Print_Titles" localSheetId="4">LEED_Worksheet!#REF!</definedName>
    <definedName name="program">#REF!</definedName>
    <definedName name="rate">#REF!</definedName>
    <definedName name="S_A_Rate">#REF!</definedName>
    <definedName name="SArate">#REF!</definedName>
    <definedName name="SCOPE">#REF!</definedName>
    <definedName name="SS6.1" localSheetId="4">LEED_Worksheet!$D$32</definedName>
    <definedName name="SS6.1">HPSB_Guiding_Principles_Wksht!#REF!</definedName>
    <definedName name="SS6.2" localSheetId="4">LEED_Worksheet!$D$33</definedName>
    <definedName name="SS6.2">HPSB_Guiding_Principles_Wksht!#REF!</definedName>
    <definedName name="SSPR1" localSheetId="4">LEED_Worksheet!$D$22</definedName>
    <definedName name="SSPR1">HPSB_Guiding_Principles_Wksht!#REF!</definedName>
    <definedName name="Thres">#REF!</definedName>
    <definedName name="version">#REF!</definedName>
    <definedName name="WE1.1" localSheetId="4">LEED_Worksheet!$D$41</definedName>
    <definedName name="WE1.1">HPSB_Guiding_Principles_Wksht!#REF!</definedName>
    <definedName name="WE1.2">[1]Scoresheet!#REF!</definedName>
    <definedName name="WE3.1" localSheetId="4">LEED_Worksheet!$D$45</definedName>
    <definedName name="WE3.1">HPSB_Guiding_Principles_Wksht!#REF!</definedName>
    <definedName name="WEPR1" localSheetId="4">LEED_Worksheet!$D$40</definedName>
    <definedName name="WEPR1">HPSB_Guiding_Principles_Wksht!#REF!</definedName>
  </definedNames>
  <calcPr calcId="125725"/>
</workbook>
</file>

<file path=xl/calcChain.xml><?xml version="1.0" encoding="utf-8"?>
<calcChain xmlns="http://schemas.openxmlformats.org/spreadsheetml/2006/main">
  <c r="E88" i="217"/>
  <c r="E81"/>
  <c r="D18" i="216"/>
  <c r="K33"/>
  <c r="B33"/>
  <c r="K5"/>
  <c r="K3"/>
  <c r="B30"/>
  <c r="B26"/>
  <c r="B22"/>
  <c r="B14" i="217"/>
  <c r="K32" i="216"/>
  <c r="J32"/>
  <c r="I32"/>
  <c r="E70" i="217"/>
  <c r="C70"/>
  <c r="E90" l="1"/>
  <c r="D32" i="216" s="1"/>
  <c r="D70" i="217"/>
  <c r="G40" i="220"/>
  <c r="C92" i="216"/>
  <c r="C91"/>
  <c r="C90"/>
  <c r="C46" i="217"/>
  <c r="C48"/>
  <c r="C50"/>
  <c r="C52"/>
  <c r="C54"/>
  <c r="C56"/>
  <c r="C5" i="216"/>
  <c r="E61" i="217"/>
  <c r="D61"/>
  <c r="C61"/>
  <c r="E56"/>
  <c r="D56"/>
  <c r="E54"/>
  <c r="D54"/>
  <c r="E52"/>
  <c r="D52"/>
  <c r="E50"/>
  <c r="D50"/>
  <c r="E48"/>
  <c r="D48"/>
  <c r="J5" i="216"/>
  <c r="J4"/>
  <c r="J3"/>
  <c r="K4"/>
  <c r="D14"/>
  <c r="D13"/>
  <c r="E46" i="217"/>
  <c r="D46"/>
  <c r="E35"/>
  <c r="D35"/>
  <c r="C35"/>
  <c r="E33"/>
  <c r="D33"/>
  <c r="C33"/>
  <c r="E20"/>
  <c r="E27" s="1"/>
  <c r="D20"/>
  <c r="C20"/>
  <c r="C4" i="216"/>
  <c r="I4"/>
  <c r="I3"/>
  <c r="B19" i="227"/>
  <c r="A159"/>
  <c r="A158"/>
  <c r="A155"/>
  <c r="A154"/>
  <c r="A153"/>
  <c r="A152"/>
  <c r="F141"/>
  <c r="B141"/>
  <c r="F128"/>
  <c r="B128"/>
  <c r="D125"/>
  <c r="D123"/>
  <c r="D121"/>
  <c r="D119"/>
  <c r="D118"/>
  <c r="D117"/>
  <c r="D116"/>
  <c r="D115"/>
  <c r="D114"/>
  <c r="D111"/>
  <c r="D110"/>
  <c r="F109"/>
  <c r="B109"/>
  <c r="D107"/>
  <c r="D106"/>
  <c r="D100"/>
  <c r="D94"/>
  <c r="D88"/>
  <c r="F87"/>
  <c r="B87"/>
  <c r="D84"/>
  <c r="D83"/>
  <c r="D82"/>
  <c r="D74"/>
  <c r="D54"/>
  <c r="D53"/>
  <c r="D52"/>
  <c r="D51"/>
  <c r="F50"/>
  <c r="B50"/>
  <c r="D45"/>
  <c r="D41"/>
  <c r="D40"/>
  <c r="F39"/>
  <c r="B39"/>
  <c r="D33"/>
  <c r="D32"/>
  <c r="D22"/>
  <c r="F21"/>
  <c r="B21"/>
  <c r="B18"/>
  <c r="B17"/>
  <c r="D81" i="226"/>
  <c r="D80"/>
  <c r="D79"/>
  <c r="D78"/>
  <c r="D77"/>
  <c r="D76"/>
  <c r="F75"/>
  <c r="B75"/>
  <c r="C18" i="216" s="1"/>
  <c r="D73" i="226"/>
  <c r="D72"/>
  <c r="D71"/>
  <c r="D70"/>
  <c r="D69"/>
  <c r="D68"/>
  <c r="D67"/>
  <c r="D66"/>
  <c r="D65"/>
  <c r="F64"/>
  <c r="B64"/>
  <c r="C17" i="216" s="1"/>
  <c r="D62" i="226"/>
  <c r="D61"/>
  <c r="D58"/>
  <c r="A58"/>
  <c r="D56"/>
  <c r="D55"/>
  <c r="D54"/>
  <c r="D52"/>
  <c r="A52"/>
  <c r="F51"/>
  <c r="D49"/>
  <c r="D48"/>
  <c r="D47"/>
  <c r="D42"/>
  <c r="A42"/>
  <c r="D37"/>
  <c r="D34"/>
  <c r="A34"/>
  <c r="D30"/>
  <c r="A30"/>
  <c r="D29"/>
  <c r="D22"/>
  <c r="D17"/>
  <c r="A17"/>
  <c r="F16"/>
  <c r="D14"/>
  <c r="D13"/>
  <c r="F12"/>
  <c r="B12"/>
  <c r="C14" i="216" s="1"/>
  <c r="E26" l="1"/>
  <c r="D28" i="217"/>
  <c r="E25" i="216" s="1"/>
  <c r="C38" i="217"/>
  <c r="I28" i="216" s="1"/>
  <c r="E28" i="217"/>
  <c r="E57"/>
  <c r="E72" s="1"/>
  <c r="E74" s="1"/>
  <c r="D28" i="216"/>
  <c r="K26"/>
  <c r="C57" i="217"/>
  <c r="C72" s="1"/>
  <c r="C74" s="1"/>
  <c r="I30" i="216" s="1"/>
  <c r="J26"/>
  <c r="D27"/>
  <c r="D26"/>
  <c r="I26"/>
  <c r="E38" i="217"/>
  <c r="D38"/>
  <c r="C93" i="216"/>
  <c r="E93" s="1"/>
  <c r="D57" i="217"/>
  <c r="D72" s="1"/>
  <c r="B51" i="226"/>
  <c r="C16" i="216" s="1"/>
  <c r="A156" i="227"/>
  <c r="D7" s="1"/>
  <c r="C13" i="216"/>
  <c r="A157" i="227"/>
  <c r="F150"/>
  <c r="A151"/>
  <c r="D4" s="1"/>
  <c r="A84" i="226"/>
  <c r="F82"/>
  <c r="B16"/>
  <c r="A85"/>
  <c r="A140" i="225"/>
  <c r="A139"/>
  <c r="A137"/>
  <c r="A136"/>
  <c r="A133"/>
  <c r="A132"/>
  <c r="A129"/>
  <c r="A125"/>
  <c r="A123"/>
  <c r="A121"/>
  <c r="A119"/>
  <c r="A117"/>
  <c r="A115"/>
  <c r="A112"/>
  <c r="A110"/>
  <c r="A108"/>
  <c r="A106"/>
  <c r="A104"/>
  <c r="A102"/>
  <c r="A100"/>
  <c r="A98"/>
  <c r="A96"/>
  <c r="A94"/>
  <c r="A92"/>
  <c r="A88"/>
  <c r="A87"/>
  <c r="A84"/>
  <c r="A83"/>
  <c r="A80"/>
  <c r="A75"/>
  <c r="A71"/>
  <c r="A67"/>
  <c r="A65"/>
  <c r="A63"/>
  <c r="A62"/>
  <c r="A59"/>
  <c r="A58"/>
  <c r="A57"/>
  <c r="A55"/>
  <c r="A54"/>
  <c r="A53"/>
  <c r="A51"/>
  <c r="A46"/>
  <c r="A42"/>
  <c r="A38"/>
  <c r="A36"/>
  <c r="A34"/>
  <c r="A32"/>
  <c r="A30"/>
  <c r="A28"/>
  <c r="A26"/>
  <c r="A22"/>
  <c r="A20"/>
  <c r="A18"/>
  <c r="A15"/>
  <c r="A13"/>
  <c r="A9"/>
  <c r="K30" i="216" l="1"/>
  <c r="D74" i="217"/>
  <c r="E29" i="216"/>
  <c r="C40" i="217"/>
  <c r="C13" s="1"/>
  <c r="C75" s="1"/>
  <c r="D40"/>
  <c r="J28" i="216"/>
  <c r="E40" i="217"/>
  <c r="E13" s="1"/>
  <c r="E75" s="1"/>
  <c r="K28" i="216"/>
  <c r="E90"/>
  <c r="E92"/>
  <c r="E91"/>
  <c r="A83" i="226"/>
  <c r="A86" s="1"/>
  <c r="E27" i="220" s="1"/>
  <c r="C15" i="216"/>
  <c r="C19" s="1"/>
  <c r="D40" i="220"/>
  <c r="C12" i="216" s="1"/>
  <c r="B40" i="220"/>
  <c r="C11" i="216" s="1"/>
  <c r="F40" i="220"/>
  <c r="B5" i="216"/>
  <c r="J30" l="1"/>
  <c r="C71"/>
  <c r="E14" i="217"/>
  <c r="C70" i="216"/>
  <c r="D13" i="217"/>
  <c r="D75" s="1"/>
  <c r="E28" i="216" s="1"/>
  <c r="I24"/>
  <c r="D22"/>
  <c r="K24"/>
  <c r="D24"/>
  <c r="C27" i="220"/>
  <c r="C40" s="1"/>
  <c r="E40"/>
  <c r="C3" i="216"/>
  <c r="D88" i="217"/>
  <c r="C81" i="216" s="1"/>
  <c r="C88" i="217"/>
  <c r="D14" l="1"/>
  <c r="E22" i="216" s="1"/>
  <c r="E23"/>
  <c r="D90" i="217"/>
  <c r="C80" i="216" s="1"/>
  <c r="J24"/>
  <c r="D23"/>
  <c r="C82"/>
  <c r="C90" i="217"/>
  <c r="C69" i="216"/>
  <c r="H26" l="1"/>
  <c r="H30"/>
  <c r="H28"/>
  <c r="D30"/>
  <c r="E91" i="217"/>
  <c r="D31" i="216"/>
  <c r="D91" i="217"/>
  <c r="E31" i="216" s="1"/>
  <c r="C83"/>
  <c r="E80" s="1"/>
  <c r="E32"/>
  <c r="C72"/>
  <c r="E69" s="1"/>
  <c r="E82" l="1"/>
  <c r="E72"/>
  <c r="E71"/>
  <c r="E70"/>
  <c r="E83"/>
  <c r="E81"/>
</calcChain>
</file>

<file path=xl/comments1.xml><?xml version="1.0" encoding="utf-8"?>
<comments xmlns="http://schemas.openxmlformats.org/spreadsheetml/2006/main">
  <authors>
    <author>Eric Mucklow</author>
    <author>Eric Mucklow, AIA, CPHC, LEED AP BD+C</author>
  </authors>
  <commentList>
    <comment ref="D11" authorId="0">
      <text>
        <r>
          <rPr>
            <b/>
            <sz val="9"/>
            <color indexed="81"/>
            <rFont val="Tahoma"/>
            <family val="2"/>
          </rPr>
          <t>Amber/Green Threashold Percentage for Icons</t>
        </r>
      </text>
    </comment>
    <comment ref="D15" authorId="0">
      <text>
        <r>
          <rPr>
            <b/>
            <sz val="9"/>
            <color indexed="81"/>
            <rFont val="Tahoma"/>
            <family val="2"/>
          </rPr>
          <t>Red/Amber Threshold Percentage for Icons</t>
        </r>
      </text>
    </comment>
    <comment ref="C19" authorId="1">
      <text>
        <r>
          <rPr>
            <b/>
            <sz val="9"/>
            <color indexed="81"/>
            <rFont val="Tahoma"/>
            <charset val="1"/>
          </rPr>
          <t>GREEN indicates facility is compliant when determining Sustainability Code for Block 14 of Form 1354.</t>
        </r>
      </text>
    </comment>
    <comment ref="D26" authorId="0">
      <text>
        <r>
          <rPr>
            <sz val="9"/>
            <color indexed="81"/>
            <rFont val="Tahoma"/>
            <family val="2"/>
          </rPr>
          <t>EO 13423:  Reduce GHG energy intensity by 30% from CBECS 2003 baseline. [§2(a)]</t>
        </r>
      </text>
    </comment>
  </commentList>
</comments>
</file>

<file path=xl/comments2.xml><?xml version="1.0" encoding="utf-8"?>
<comments xmlns="http://schemas.openxmlformats.org/spreadsheetml/2006/main">
  <authors>
    <author>Eric Mucklow</author>
  </authors>
  <commentList>
    <comment ref="B30" authorId="0">
      <text>
        <r>
          <rPr>
            <b/>
            <sz val="9"/>
            <color indexed="81"/>
            <rFont val="Tahoma"/>
            <family val="2"/>
          </rPr>
          <t>Eric Mucklow:</t>
        </r>
        <r>
          <rPr>
            <sz val="9"/>
            <color indexed="81"/>
            <rFont val="Tahoma"/>
            <family val="2"/>
          </rPr>
          <t xml:space="preserve">
Note: EPAct 2005 considers Energy-from-Waste systems (MSW/Landfill gas) as Renewable, which are to be entered in a subsequent section below. </t>
        </r>
      </text>
    </comment>
    <comment ref="B43" authorId="0">
      <text>
        <r>
          <rPr>
            <b/>
            <sz val="9"/>
            <color indexed="81"/>
            <rFont val="Tahoma"/>
            <family val="2"/>
          </rPr>
          <t>Eric Mucklow:</t>
        </r>
        <r>
          <rPr>
            <sz val="9"/>
            <color indexed="81"/>
            <rFont val="Tahoma"/>
            <family val="2"/>
          </rPr>
          <t xml:space="preserve">
(EPAct 2005 establishes a bonus for Federal agencies if renewable electricity is produced on-site at a Federal facility, on Federal lands, or on Native American lands.)</t>
        </r>
      </text>
    </comment>
    <comment ref="B45" authorId="0">
      <text>
        <r>
          <rPr>
            <b/>
            <sz val="9"/>
            <color indexed="81"/>
            <rFont val="Tahoma"/>
            <family val="2"/>
          </rPr>
          <t>Show electricity produced by PV, CSP, Stirling Engines, etc. but not water or air heating or steam use. (see below for the latter)</t>
        </r>
      </text>
    </comment>
    <comment ref="B49" authorId="0">
      <text>
        <r>
          <rPr>
            <b/>
            <sz val="9"/>
            <color indexed="81"/>
            <rFont val="Tahoma"/>
            <family val="2"/>
          </rPr>
          <t>Eric Mucklow:</t>
        </r>
        <r>
          <rPr>
            <sz val="9"/>
            <color indexed="81"/>
            <rFont val="Tahoma"/>
            <family val="2"/>
          </rPr>
          <t xml:space="preserve">
EPAct 2005 Section 203 defines renewable ocean energy as electricity generated using tidal, wave, current, and thermal energy.  Hydro must be new hydroelectric generation capacity achieved from increased efficiency or additions of new capacity at an existing hydroelectric project.</t>
        </r>
      </text>
    </comment>
    <comment ref="B53" authorId="0">
      <text>
        <r>
          <rPr>
            <b/>
            <sz val="9"/>
            <color indexed="81"/>
            <rFont val="Tahoma"/>
            <family val="2"/>
          </rPr>
          <t>Eric Mucklow:</t>
        </r>
        <r>
          <rPr>
            <sz val="9"/>
            <color indexed="81"/>
            <rFont val="Tahoma"/>
            <family val="2"/>
          </rPr>
          <t xml:space="preserve">
Geothermal Electric uses the heat from deep in the earth to generate electricity and does </t>
        </r>
        <r>
          <rPr>
            <b/>
            <sz val="9"/>
            <color indexed="81"/>
            <rFont val="Tahoma"/>
            <family val="2"/>
          </rPr>
          <t>not</t>
        </r>
        <r>
          <rPr>
            <sz val="9"/>
            <color indexed="81"/>
            <rFont val="Tahoma"/>
            <family val="2"/>
          </rPr>
          <t xml:space="preserve"> include thermal storage or extraction such as Ground Source Heat Pumps (GSHP) or DX systems</t>
        </r>
      </text>
    </comment>
    <comment ref="B55" authorId="0">
      <text>
        <r>
          <rPr>
            <b/>
            <sz val="9"/>
            <color indexed="81"/>
            <rFont val="Tahoma"/>
            <family val="2"/>
          </rPr>
          <t>Eric Mucklow:</t>
        </r>
        <r>
          <rPr>
            <sz val="9"/>
            <color indexed="81"/>
            <rFont val="Tahoma"/>
            <family val="2"/>
          </rPr>
          <t xml:space="preserve">
May include wood chips, corn, grapeseed, grass, algae gas, algae biodiesel, etc.</t>
        </r>
      </text>
    </comment>
    <comment ref="B57" authorId="0">
      <text>
        <r>
          <rPr>
            <b/>
            <sz val="9"/>
            <color indexed="81"/>
            <rFont val="Tahoma"/>
            <family val="2"/>
          </rPr>
          <t>Eric Mucklow:</t>
        </r>
        <r>
          <rPr>
            <sz val="9"/>
            <color indexed="81"/>
            <rFont val="Tahoma"/>
            <family val="2"/>
          </rPr>
          <t xml:space="preserve">
EPAct 2005 Section 203 defines "renewable energy" as electric energy generated from solar, wind, biomass, landfill gas, ocean (including tidal, wave, current, and thermal), geothermal, municipal solid waste, or new hydroelectric generation capacity achieved from increased efficiency or additions of new capacity at an existing hydroelectric project.
</t>
        </r>
      </text>
    </comment>
    <comment ref="B73" authorId="0">
      <text>
        <r>
          <rPr>
            <b/>
            <sz val="9"/>
            <color indexed="81"/>
            <rFont val="Tahoma"/>
            <family val="2"/>
          </rPr>
          <t>Eric Mucklow:</t>
        </r>
        <r>
          <rPr>
            <sz val="9"/>
            <color indexed="81"/>
            <rFont val="Tahoma"/>
            <family val="2"/>
          </rPr>
          <t xml:space="preserve">
Enter any Renewable Energy Credits (RECs) SOLD or COUNTED ELSEWHERE here.</t>
        </r>
      </text>
    </comment>
  </commentList>
</comments>
</file>

<file path=xl/comments3.xml><?xml version="1.0" encoding="utf-8"?>
<comments xmlns="http://schemas.openxmlformats.org/spreadsheetml/2006/main">
  <authors>
    <author>Eric Mucklow</author>
  </authors>
  <commentList>
    <comment ref="B10" authorId="0">
      <text>
        <r>
          <rPr>
            <b/>
            <sz val="9"/>
            <color indexed="81"/>
            <rFont val="Tahoma"/>
            <family val="2"/>
          </rPr>
          <t>Eric Mucklow:</t>
        </r>
        <r>
          <rPr>
            <sz val="9"/>
            <color indexed="81"/>
            <rFont val="Tahoma"/>
            <family val="2"/>
          </rPr>
          <t xml:space="preserve">
EPAct 2005 originally referenced 90.1-2004, but was later revised to 90.1-2007</t>
        </r>
      </text>
    </comment>
  </commentList>
</comments>
</file>

<file path=xl/sharedStrings.xml><?xml version="1.0" encoding="utf-8"?>
<sst xmlns="http://schemas.openxmlformats.org/spreadsheetml/2006/main" count="1325" uniqueCount="610">
  <si>
    <t>%</t>
  </si>
  <si>
    <t xml:space="preserve"> </t>
  </si>
  <si>
    <t>Water Savings vs. Baseline:</t>
  </si>
  <si>
    <t>Baseline</t>
  </si>
  <si>
    <t>[fill-in type here]</t>
  </si>
  <si>
    <t>Annual Total Production/Offset:</t>
  </si>
  <si>
    <t>Total Annual Usage in Gallons:</t>
  </si>
  <si>
    <t>Domestic Water</t>
  </si>
  <si>
    <t>Process Water</t>
  </si>
  <si>
    <t>Non-building usage deduction:</t>
  </si>
  <si>
    <t>Net Water Usage</t>
  </si>
  <si>
    <t>Pie Slices</t>
  </si>
  <si>
    <t>Net Utilities</t>
  </si>
  <si>
    <t>Use Reduction</t>
  </si>
  <si>
    <t>Energy</t>
  </si>
  <si>
    <t>Water Chart</t>
  </si>
  <si>
    <t>Net Utility</t>
  </si>
  <si>
    <t>Harvested On-Site</t>
  </si>
  <si>
    <t>ENERGY &amp; SUSTAINABILITY RECORD CARD</t>
  </si>
  <si>
    <t>IPC 2006</t>
  </si>
  <si>
    <t>as Designed:</t>
  </si>
  <si>
    <t>Actual:</t>
  </si>
  <si>
    <t xml:space="preserve">SF: </t>
  </si>
  <si>
    <t>DRAFT</t>
  </si>
  <si>
    <r>
      <t></t>
    </r>
    <r>
      <rPr>
        <i/>
        <sz val="10"/>
        <rFont val="Arial"/>
        <family val="2"/>
      </rPr>
      <t xml:space="preserve">= Delayed </t>
    </r>
    <r>
      <rPr>
        <sz val="10"/>
        <rFont val="Arial"/>
        <family val="2"/>
      </rPr>
      <t xml:space="preserve"> </t>
    </r>
    <r>
      <rPr>
        <sz val="10"/>
        <rFont val="Wingdings 2"/>
        <family val="1"/>
        <charset val="2"/>
      </rPr>
      <t></t>
    </r>
    <r>
      <rPr>
        <i/>
        <sz val="10"/>
        <rFont val="Arial"/>
        <family val="2"/>
      </rPr>
      <t>=Not Addressed</t>
    </r>
    <r>
      <rPr>
        <sz val="10"/>
        <rFont val="Arial"/>
        <family val="2"/>
      </rPr>
      <t xml:space="preserve">  </t>
    </r>
    <r>
      <rPr>
        <sz val="10"/>
        <rFont val="Wingdings 2"/>
        <family val="1"/>
        <charset val="2"/>
      </rPr>
      <t></t>
    </r>
    <r>
      <rPr>
        <i/>
        <sz val="10"/>
        <rFont val="Arial"/>
        <family val="2"/>
      </rPr>
      <t>= In Planning</t>
    </r>
    <r>
      <rPr>
        <sz val="10"/>
        <rFont val="Arial"/>
        <family val="2"/>
      </rPr>
      <t xml:space="preserve">  </t>
    </r>
    <r>
      <rPr>
        <sz val="10"/>
        <rFont val="Wingdings 2"/>
        <family val="1"/>
        <charset val="2"/>
      </rPr>
      <t></t>
    </r>
    <r>
      <rPr>
        <i/>
        <sz val="10"/>
        <rFont val="Arial"/>
        <family val="2"/>
      </rPr>
      <t xml:space="preserve">= In Development  </t>
    </r>
    <r>
      <rPr>
        <sz val="10"/>
        <rFont val="Wingdings 2"/>
        <family val="1"/>
        <charset val="2"/>
      </rPr>
      <t></t>
    </r>
    <r>
      <rPr>
        <i/>
        <sz val="10"/>
        <rFont val="Arial"/>
        <family val="2"/>
      </rPr>
      <t xml:space="preserve">= In Implementation  </t>
    </r>
    <r>
      <rPr>
        <sz val="10"/>
        <rFont val="Wingdings 2"/>
        <family val="1"/>
        <charset val="2"/>
      </rPr>
      <t></t>
    </r>
    <r>
      <rPr>
        <i/>
        <sz val="10"/>
        <rFont val="Arial"/>
        <family val="2"/>
      </rPr>
      <t>= Incorporated</t>
    </r>
  </si>
  <si>
    <t>Topic</t>
  </si>
  <si>
    <t>August 2005: EPAct 2005</t>
  </si>
  <si>
    <t>January 2007: EO 13423</t>
  </si>
  <si>
    <t>December 2007: EISA 2007</t>
  </si>
  <si>
    <t>October 2009: EO 13514</t>
  </si>
  <si>
    <t>October 2009: NDAA 2010</t>
  </si>
  <si>
    <t>Building Energy Intensity (Gross)</t>
  </si>
  <si>
    <t>Reduce building energy intensity 3% annually through FY 2015, or 30% total reduction by FY 2015 (baseline FY 2003). [§2(a)]</t>
  </si>
  <si>
    <t>Reduce building energy intensity 3% annually through 2015, or 30% total reduction by 2015 (baseline 2003) [§431]</t>
  </si>
  <si>
    <t>Reduce energy intensity in buildings to achieve GHG reductions. [§2(a)(i)]</t>
  </si>
  <si>
    <t>Energy Efficiency in New Construction and Major Renovations</t>
  </si>
  <si>
    <t>New Federal buildings and Federal buildings undergoing major renovations shall reduce their fossil fuel-generated energy (baseline 2003) consumption by:  [§433]</t>
  </si>
  <si>
    <t>Achieve by 2030 zero-net-energy* in buildings entering the planning process after 2020. [§2(g)(i), see also EISA §433]</t>
  </si>
  <si>
    <t>-   55% by 2010
-   65% by 2015
-   80% by 2020
-   90% by 2025
-  100% by 2030</t>
  </si>
  <si>
    <t>Minimize consumption of energy... through cost-effective, innovative strategies, such as highly reflective and vegetated roofs. [§2(g)(iv)]</t>
  </si>
  <si>
    <t xml:space="preserve">  (* a "zero-net-energy building" meets its of energy needs from sources of energy that do not produce greenhouse gases (GHG), and therefore result in no net emissions of GHG)</t>
  </si>
  <si>
    <t>Renewable Energy Generation</t>
  </si>
  <si>
    <t>Double count renewable energy produced on Federal or Indian lands and used on-site at Federal facilities [§203]. Requires the installation of 20,000 solar energy systems in Federal buildings by 2010 [§204]</t>
  </si>
  <si>
    <t xml:space="preserve">Implement new renewable energy generation projects on agency property for agency use. [§2(b)] </t>
  </si>
  <si>
    <t>Implement renewable energy generation projects on agency property. [§2(a)(ii)]</t>
  </si>
  <si>
    <t xml:space="preserve"> 25% by 2025</t>
  </si>
  <si>
    <t>Renewable Energy Usage</t>
  </si>
  <si>
    <t>Defines “renewable energy.”    Increase renewables 3% in FY2007-2009; [§203]</t>
  </si>
  <si>
    <t xml:space="preserve">Ensure that 50% of statutorily required renewables comes from post-1999 sources. [§2(b)] </t>
  </si>
  <si>
    <t>30% of hot water demand in new Federal buildings and major renovations must be met with solar hot water if life-cycle cost effective [§523]</t>
  </si>
  <si>
    <t>Increase use of renewable energy. [§2(a)(ii)]</t>
  </si>
  <si>
    <t>Encourages 25% of Energy from Renewable Sources by 2025.</t>
  </si>
  <si>
    <t>-  Increasing to 5% in FY 2010-2012.</t>
  </si>
  <si>
    <t>{How can this be tracked?}</t>
  </si>
  <si>
    <t>-  Increasing to 7.5% in FY 2013 &amp; on.</t>
  </si>
  <si>
    <t>Fleet Vehicle Support</t>
  </si>
  <si>
    <t>Use plug-in hybrids when available at a life-cycle cost reasonably comparable to non-PIH vehicles. [§2(g)] (=new electrical service requirement)</t>
  </si>
  <si>
    <t>Install at least one renewable fuel pump at each Federal fleet fueling center by 2010 [§246]</t>
  </si>
  <si>
    <t xml:space="preserve">High Performance Sustainable Buildings </t>
  </si>
  <si>
    <t xml:space="preserve">Includes application of sustainable design principles for new buildings [§109]. </t>
  </si>
  <si>
    <r>
      <t xml:space="preserve">Ensure all new agency construction and renovation complies with the </t>
    </r>
    <r>
      <rPr>
        <i/>
        <sz val="10"/>
        <rFont val="Times New Roman"/>
        <family val="1"/>
      </rPr>
      <t>Guiding Principles</t>
    </r>
    <r>
      <rPr>
        <sz val="10"/>
        <rFont val="Times New Roman"/>
        <family val="1"/>
      </rPr>
      <t>. [§2(f)]</t>
    </r>
  </si>
  <si>
    <t>Requires sustainable design principles be applied to the siting, design, and construction of buildings subject to the standards [§433]</t>
  </si>
  <si>
    <r>
      <t xml:space="preserve">Ensure all new construction, major renovation, or repair and alteration complies with the </t>
    </r>
    <r>
      <rPr>
        <i/>
        <sz val="10"/>
        <rFont val="Times New Roman"/>
        <family val="1"/>
      </rPr>
      <t>Guiding Principles</t>
    </r>
    <r>
      <rPr>
        <sz val="10"/>
        <rFont val="Times New Roman"/>
        <family val="1"/>
      </rPr>
      <t>. [§2(g)(ii)]</t>
    </r>
  </si>
  <si>
    <r>
      <t xml:space="preserve">Ensure 15% of existing Federal building inventory incorporate the </t>
    </r>
    <r>
      <rPr>
        <i/>
        <sz val="10"/>
        <rFont val="Times New Roman"/>
        <family val="1"/>
      </rPr>
      <t>Guiding Principles</t>
    </r>
    <r>
      <rPr>
        <sz val="10"/>
        <rFont val="Times New Roman"/>
        <family val="1"/>
      </rPr>
      <t xml:space="preserve"> by 2015. [§2(f)]</t>
    </r>
  </si>
  <si>
    <t>Ensure major replacements of installed equipment, renovation, or expansion of existing space employ the most energy-efficient designs, systems, equipment, and controls life-cycle cost effective [§434]</t>
  </si>
  <si>
    <r>
      <t xml:space="preserve">Ensure 15% of existing facilities and building leases (above 5,000 gross square feet) meet the </t>
    </r>
    <r>
      <rPr>
        <i/>
        <sz val="10"/>
        <rFont val="Times New Roman"/>
        <family val="1"/>
      </rPr>
      <t>Guiding Principles</t>
    </r>
    <r>
      <rPr>
        <sz val="10"/>
        <rFont val="Times New Roman"/>
        <family val="1"/>
      </rPr>
      <t xml:space="preserve"> by FY 2015. [§2(g)(iii)]</t>
    </r>
  </si>
  <si>
    <t>As of December 19, 2010, Federal agencies are prohibited from leasing buildings that have not earned the ENERGY STAR label (some exemptions apply) [§435]</t>
  </si>
  <si>
    <r>
      <t xml:space="preserve">Make annual progress towards 100% conformance with the </t>
    </r>
    <r>
      <rPr>
        <i/>
        <sz val="10"/>
        <rFont val="Times New Roman"/>
        <family val="1"/>
      </rPr>
      <t>Guiding Principles.</t>
    </r>
    <r>
      <rPr>
        <sz val="10"/>
        <rFont val="Times New Roman"/>
        <family val="1"/>
      </rPr>
      <t xml:space="preserve"> [§2(g)(iii)]</t>
    </r>
  </si>
  <si>
    <t>Advanced Metering and Measurement</t>
  </si>
  <si>
    <t>Federal buildings must be metered by October 1, 2012 with data provided at least daily and electricity consumption measured hourly [§103].</t>
  </si>
  <si>
    <t>Identify “covered facilities” constituting at least 75% of the agency’s facility energy use.  Each covered facility must have an energy manager designated and meet additional requirements.  Energy and water evaluations must be completed every 4 years for each facility.  Facility energy managers are also responsible for commissioning equipment and establishing O&amp;M plans for measuring, verifying, and reporting energy and water savings [§432].</t>
  </si>
  <si>
    <t xml:space="preserve"> [§2841] Adoption of Department-wide, Open Protocol energy monitoring and utility control system specification for military construction and military family housing activities.
Shall Cover:
-  Utilities &amp; Energy usage
-  Indoor environments
-  HVAC
-  Central plant equip.
-  Renewable energy</t>
  </si>
  <si>
    <t>By October 16, 2016, each agency shall provide for equivalent metering of natural gas and steam [§434(b)].</t>
  </si>
  <si>
    <t>Building Management</t>
  </si>
  <si>
    <r>
      <t>Manage</t>
    </r>
    <r>
      <rPr>
        <sz val="10"/>
        <rFont val="Times New Roman"/>
        <family val="1"/>
      </rPr>
      <t xml:space="preserve"> existing building systems to reduce consumption of energy.... [§2(g)(v)]</t>
    </r>
  </si>
  <si>
    <t>[§332] Extension and Expansion of Reporting Requirements Regarding Department of Energy Efficiency Programs</t>
  </si>
  <si>
    <t>Products and Equipment</t>
  </si>
  <si>
    <t>Requires Federal agencies to incorporate energy efficiency criteria consistent with ENERGY STAR and FEMP-designated products for all procurements involving energy-consuming products and services [§104].</t>
  </si>
  <si>
    <t>Encourages agencies to minimize standby energy use in purchases of energy-using equipment. [§524]  Requires procurement to focus on ENERGY STAR and FEMP-designated products [§525].</t>
  </si>
  <si>
    <t xml:space="preserve">(Also note that Direct Digital Control (DDC) is required when upgrading, retrofitting or replacing HVAC systems per FAR part 23.)
</t>
  </si>
  <si>
    <t>Support for Local Communities</t>
  </si>
  <si>
    <t>Align Federal policies to increase the effectiveness of local planning for energy choices such as locally-generated renewable energy. [§2(f)(ii)]</t>
  </si>
  <si>
    <t>Identify and analyze impacts from energy use and alternative energy sources in EAs and EISs for new or expanded facilities. [§2(f)(iv)]</t>
  </si>
  <si>
    <t>Status:</t>
  </si>
  <si>
    <r>
      <t></t>
    </r>
    <r>
      <rPr>
        <sz val="10"/>
        <rFont val="Arial Black"/>
        <family val="2"/>
      </rPr>
      <t>?</t>
    </r>
  </si>
  <si>
    <t>Purchase products that are:
-  Recycled, 
-  Biopreferred 
-  ENERGY STAR
-  FEMP-designated
-  EPEAT
-  WaterSense (and other water-efficient) [§2(d)]</t>
  </si>
  <si>
    <t xml:space="preserve">Ensure 95% of new contract actions for products and services are: 
-  Energy efficient
-  Water efficient
-  Biobased-content
-  Environmentally preferable
-  Non-ozone depleting,
-  Recycled-content
-  Non-toxic or less-toxic than alternatives [§2(h)(i)] </t>
  </si>
  <si>
    <t>N/A</t>
  </si>
  <si>
    <t>EPAct 2005:</t>
  </si>
  <si>
    <t>EISA 2007:</t>
  </si>
  <si>
    <t>pound</t>
  </si>
  <si>
    <t> Unit</t>
  </si>
  <si>
    <t> Btu/unit</t>
  </si>
  <si>
    <t> # 2 Fuel Oil</t>
  </si>
  <si>
    <t>gallon (US)</t>
  </si>
  <si>
    <t> # 6 Fuel Oil</t>
  </si>
  <si>
    <t> Coal - Anthracite</t>
  </si>
  <si>
    <t>ton</t>
  </si>
  <si>
    <t> Coal - Bituminous Low Volatile</t>
  </si>
  <si>
    <t> Coal - High Volatile</t>
  </si>
  <si>
    <t> Coal - Lignite (Brown Coal)</t>
  </si>
  <si>
    <t> District Steam (Secondary)</t>
  </si>
  <si>
    <t>Kilo-pound</t>
  </si>
  <si>
    <t> Electricity</t>
  </si>
  <si>
    <t>kwh</t>
  </si>
  <si>
    <t> Natural Gas (Dth)</t>
  </si>
  <si>
    <t>dekatherm</t>
  </si>
  <si>
    <t> Natural Gas</t>
  </si>
  <si>
    <t>cubic feet</t>
  </si>
  <si>
    <t> Propane (LP Gas)</t>
  </si>
  <si>
    <t>kBtu</t>
  </si>
  <si>
    <t>Model</t>
  </si>
  <si>
    <t>Design</t>
  </si>
  <si>
    <t>High Performance Sustainable Building Requirements and LEED® 2009 References</t>
  </si>
  <si>
    <t>Links</t>
  </si>
  <si>
    <t xml:space="preserve">The High Performance Sustainable Building Requirements (Dec 08) described below are also found on the FedCenter website:  </t>
  </si>
  <si>
    <t>High  Performance Sustainable Building Guidance (Dec 08)</t>
  </si>
  <si>
    <t xml:space="preserve">For more information on LEED® Credits that meet or align closely with federal requirements as well as other credits a building can pursue towards the Silver certification level, review the LEED® New Construction and Major Renovations 2009 Rating System: </t>
  </si>
  <si>
    <t>LEED(R) for New Construction &amp; Major Renovations 2009 - Nov 2008</t>
  </si>
  <si>
    <t>Color Code</t>
  </si>
  <si>
    <r>
      <t>LEED® Credits and/or Prerequisites that align closely with Federal High Performance Sustainable Buildings (HPSB) Requirements</t>
    </r>
    <r>
      <rPr>
        <sz val="10"/>
        <color indexed="17"/>
        <rFont val="Arial"/>
        <family val="2"/>
      </rPr>
      <t xml:space="preserve">
These credits and/or prerequisites align closely with the associated HPSB Guiding Principle.  They could be either more or less stringent or have different measurement metrics.  In the case where one is more stringent than the other, achieving the more stringent one does not imply the less stringent is achieved.</t>
    </r>
  </si>
  <si>
    <r>
      <t xml:space="preserve">LEED® Credits and/or Prerequisites that meet Federal High Performance Sustainable Buildings (HPSB) Requirements
</t>
    </r>
    <r>
      <rPr>
        <sz val="10"/>
        <color indexed="48"/>
        <rFont val="Arial"/>
        <family val="2"/>
      </rPr>
      <t>These credits and/or prerequisites have the same requirements as the associated HPSB Guiding Principle. This does not guarantee achieving the LEED Credit, as some documentation methods may vary.</t>
    </r>
  </si>
  <si>
    <t>Recommended (Federal Requirement not fully defined at this time)</t>
  </si>
  <si>
    <t>HPSB I: Employ Integrated Design Principles</t>
  </si>
  <si>
    <t>Use a collaborative, integrated planning and design process that
• Initiates and maintains an integrated project team as described on the Whole Building Design Guide in all stages of a project's planning and delivery, http://www.wbdg.org/design/engage_process.php
• Integrates the use of OMB’s A-11, Section 7, Exhibit 300: Capital Asset Plan and Business Case Summary
• Establishes performance goals for siting, energy, water, materials, and indoor environmental quality along with other comprehensive design goals and ensures incorporation of these goals throughout the design and lifecycle of the building
• Considers all stages of the building's lifecycle, including deconstruction.</t>
  </si>
  <si>
    <t>HPSB Guidance</t>
  </si>
  <si>
    <t>Requirement Source Document(s)</t>
  </si>
  <si>
    <t>Federal Leadership in High Performance and Sustainable Buildings MOU</t>
  </si>
  <si>
    <t>LEED Credit(s) aligns closely with HPSB:</t>
  </si>
  <si>
    <t>None</t>
  </si>
  <si>
    <t>LEED Credit(s) meet HPSB:</t>
  </si>
  <si>
    <t xml:space="preserve">Employ commissioning practices tailored to the size and complexity of the building and its system components in order to verify performance of building components and systems and help ensure that design requirements are met. This should include an experienced commissioning provider, inclusion of commissioning requirements in construction documents, a commissioning plan, verification of the installation and performance of systems to be commissioned, and a commissioning report. </t>
  </si>
  <si>
    <t>LEED EA Prerequisite 1: Fundamental Commissioning of Building Energy Systems
LEED EA Credit 3: Enhanced Commissioning</t>
  </si>
  <si>
    <t>HPSB II: Optimize Energy Performance</t>
  </si>
  <si>
    <t>For new construction, reduce the energy use by 30 percent compared to the baseline building performance rating per the American National Standards Institute (ANSI)/American Society of Heating, Refrigerating and Air-Conditioning Engineers, Inc., (ASHRAE)/Illuminating Engineering Society of North America (IESNA) Standard 90.1-2007, Energy Standard for Buildings Except Low-Rise Residential, except for the performance rating formula in G1.2, which should be used as follows (from 10 CFR 433.5): 
Percentage improvement = 100 x (Baseline building consumption—Proposed building consumption) ÷(Baseline building consumption—Receptacle and process loads). 
This differs from the LEED calculation.
For major renovations, reduce the energy use by 20 percent below pre-renovations 2003 baseline. Laboratory spaces may use the Labs21 Laboratory Modeling Guidelines. 
ENERGY STAR qualified low-slope roofs (2:12 inches or less) have an intial solar reflectance greater than or equal to 0.65 and is greater than or equal to 0.50 three years after installation. Steep slope roofs (greater than 2:12 inches) have an intial solar reflectance greater than or equal to 0.25 and is greater than or equal to 0.15 three years after installation</t>
  </si>
  <si>
    <t>10 CFR 433.5, Federal Leadership in High Performance and Sustainable Buildings MOU</t>
  </si>
  <si>
    <t>GPO Access: 10 CFR 433.5</t>
  </si>
  <si>
    <t>LEED EA Prerequisite 2: Minimum Energy Performance 
LEED EA Credit 1: Optimize Energy Performance</t>
  </si>
  <si>
    <t>Use ENERGY STAR® and FEMP-designated Energy Efficient Products, where available.</t>
  </si>
  <si>
    <t>Requirement Source Document(s):</t>
  </si>
  <si>
    <t>Per the Energy Independence and Security Act (EISA) Section 523, meet at least 30% of the hot water demand through the installation of solar hot water heaters, when lifecycle cost effective.</t>
  </si>
  <si>
    <t>EISA Sec. 523, Federal Leadership in High Performance and Sustainable Buildings MOU</t>
  </si>
  <si>
    <t>Energy Independence and Security Act of 2007</t>
  </si>
  <si>
    <t>LEED EA Credit 2: On-Site Renewable Energy</t>
  </si>
  <si>
    <t>Per Executive Order 13423, implement renewable energy generation projects on agency property for agency use, when lifecycle cost effective. Renewable energy types include: Geothermal, GSHP, Solar PV, Solar CP, Solar Thermal, Wind, Hydro, Daylighting, Waste to Energy.</t>
  </si>
  <si>
    <r>
      <t xml:space="preserve">Per the Energy Policy Act of 2005 (EPAct) Section 103, install building level electricity meters in new major construction and renovation projects to track and continuously optimize performance. Per EISA Section 434, include equivalent meters for natural gas and steam, where natural gas and steam are used. Per A7C Memorandum, </t>
    </r>
    <r>
      <rPr>
        <i/>
        <sz val="10"/>
        <rFont val="Arial"/>
        <family val="2"/>
      </rPr>
      <t xml:space="preserve">DoD Facilities Metering Installation Initiative </t>
    </r>
    <r>
      <rPr>
        <sz val="10"/>
        <rFont val="Arial"/>
        <family val="2"/>
      </rPr>
      <t>(27 April 2006), all new construction should install potable water meters.</t>
    </r>
  </si>
  <si>
    <t>EPAct 2005 Section 103, EISA 2007 Section 434, Federal Leadership in High Performance and Sustainable Buildings MOU</t>
  </si>
  <si>
    <t>Energy Policy Act of 2005</t>
  </si>
  <si>
    <t>LEED EA Credit 5: Measurement and Verification</t>
  </si>
  <si>
    <t xml:space="preserve">As a recommendation, enter data and lessons learned from sustainable buildings into the High Performance Buildings Database. </t>
  </si>
  <si>
    <t>HPSB MOU</t>
  </si>
  <si>
    <t>http://femp.buildinggreen.com/</t>
  </si>
  <si>
    <r>
      <t xml:space="preserve">For new Federal buildings and Federal buildings undergoing major renovations…(I) The buildings shall be designed so that the fossil fuel generated energy consumption of the buildings is reduced, as compared with such energy consumption by a similar building in fiscal year 2003 (CBECS or RECS data from EIA), by the percentage specified...FY2010 (55%), 2015 (65%), 2020 (80%), 2025 (90%), and 2030 (100%). </t>
    </r>
    <r>
      <rPr>
        <i/>
        <sz val="10"/>
        <rFont val="Arial"/>
        <family val="2"/>
      </rPr>
      <t>The DOE Rulemaking is not yet complete</t>
    </r>
  </si>
  <si>
    <t>EISA 2007, Sec. 433, (a)(D)(i)</t>
  </si>
  <si>
    <r>
      <t>EISA 2007 Section 453 directs DOE and EPA to initiate a voluntary national information program for widely used data centers and data center equipment for which there is significant potential for energy savings.</t>
    </r>
    <r>
      <rPr>
        <i/>
        <sz val="10"/>
        <rFont val="Arial"/>
        <family val="2"/>
      </rPr>
      <t xml:space="preserve"> The DOE/EPA guidance is not yet issued.</t>
    </r>
  </si>
  <si>
    <t>EISA 2007, Sec. 453</t>
  </si>
  <si>
    <t>HPSB III: Protect and Conserve Water</t>
  </si>
  <si>
    <t xml:space="preserve">Employ strategies that in aggregate use a minimum of 20 percent less potable water than the indoor water use baseline calculated for the building, after meeting the EPAct 1992, Uniform Plumbing Codes 2006, and the International Plumbing Codes 2006 fixture performance requirements. The installation of water meters is encouraged to allow for the management of water use during occupancy. The use of harvested rainwater, treated wastewater, and air conditioner condensate should also be considered and used where feasible for nonpotable use and potable use where allowed. </t>
  </si>
  <si>
    <t>EPAct 1992, Federal Leadership in High Performance and Sustainable Buildings MOU</t>
  </si>
  <si>
    <t>THOMAS EPAct 1992</t>
  </si>
  <si>
    <t>LEED WE Credit 3: Water Use Reduction - Reduce by 30% (3.1), 35% (3.2), 40% (3.3)</t>
  </si>
  <si>
    <t>LEED WE Prerequisite 1: Water Use Reduction - 20% Reduction</t>
  </si>
  <si>
    <t xml:space="preserve">Use water efficient landscape and irrigation strategies, such as water reuse, recycling, and the use of harvested rainwater, to reduce outdoor potable water consumption by a minimum of 50 percent over that consumed by conventional means (plant species and plant densities). The installation of water meters for locations with significant outdoor water use is encouraged. </t>
  </si>
  <si>
    <t>LEED WE Credit 1.2: Water Efficient Landscaping - No Potable Water Use or Irrigation</t>
  </si>
  <si>
    <t>LEED WE Credit 1.1: Water Efficient Landscaping - Reduce by 50%</t>
  </si>
  <si>
    <t xml:space="preserve">Employ design and construction strategies that reduce storm water runoff and discharges of polluted water offsite. </t>
  </si>
  <si>
    <t>AF ETL 03-1, Federal Leadership in High Performance and Sustainable Buildings MOU</t>
  </si>
  <si>
    <t>Engineering Technical Letter (ETL) 03-1 - Stormwater Construction Standards</t>
  </si>
  <si>
    <t>LEED SS Prerequisite 1: Construction Activity Pollution Prevention</t>
  </si>
  <si>
    <t xml:space="preserve">Per EISA Section 438, to the maximum extent technically feasible, maintain or restore the predevelopment hydrology of the site with regard to temperature, rate, volume, and duration of flow using site planning, design, construction, and maintenance strategies. </t>
  </si>
  <si>
    <t>OUSD Memo 19 Jan 2010, EISA 2007 Sec 438, Federal Leadership in High Performance and Sustainable Buildings MOU</t>
  </si>
  <si>
    <t>OUSD Memo EISA Section 438</t>
  </si>
  <si>
    <t>LEED SS Credit 6.1: Stormwater Design - Quantity Control
LEED SS Credit 6.2: Stormwater Design - Quality Control</t>
  </si>
  <si>
    <t>Per the Energy Policy Act of 2005 Section 109, when potable water is used to improve a building’s energy efficiency, deploy lifecycle cost effective water conservation measures.</t>
  </si>
  <si>
    <t>EPAct 2005, Sec. 109, Federal Leadership in High Performance and Sustainable Buildings MOU</t>
  </si>
  <si>
    <t>Specify EPA’s WaterSense-labeled products or other water conserving products, where available.</t>
  </si>
  <si>
    <t>Choose irrigation contractors who are certified through a WaterSense labeled program.</t>
  </si>
  <si>
    <t>HPSB IV: Enhance Indoor Environmental Quality</t>
  </si>
  <si>
    <t xml:space="preserve">Meet ASHRAE Standard 55-2004, Thermal Environmental Conditions for Human Occupancy, including continuous humidity control within established ranges per climate zone.  </t>
  </si>
  <si>
    <t>LEED EQ Credit 7: Thermal Comfort - Design</t>
  </si>
  <si>
    <t xml:space="preserve">Meet ASHRAE Standard 62.1-2007, Ventilation for Acceptable Indoor Air Quality.  </t>
  </si>
  <si>
    <t>LEED EQ Prerequisite 1: Minimum Indoor Air Quality Performance</t>
  </si>
  <si>
    <t xml:space="preserve">Establish and implement a moisture control strategy for controlling moisture flows and condensation to prevent building damage, minimize mold contamination, and reduce health risks related to moisture. </t>
  </si>
  <si>
    <t>ETL 04-3: Design Criteria for Prevention of Mold in Air Force Facilities (Achieves  HPSB GP4, Moisture Control), Federal Leadership in High Performance and Sustainable Buildings MOU</t>
  </si>
  <si>
    <t>AF ETL 04-3</t>
  </si>
  <si>
    <t xml:space="preserve">Achieve a minimum daylight factor of 2 percent (excluding all direct sunlight penetration) in 75 percent of all space occupied for critical visual tasks. </t>
  </si>
  <si>
    <t>LEED EQ Credit 8.1: Daylight and Views - Daylight</t>
  </si>
  <si>
    <t xml:space="preserve">Provide automatic dimming controls or accessible manual lighting controls, and appropriate glare control. </t>
  </si>
  <si>
    <t>LEED EQ Credit 6.1: Controllability of Systems - Lighting</t>
  </si>
  <si>
    <t xml:space="preserve">Specify materials and products with low pollutant emissions, including composite wood products, adhesives, sealants, interior paints and finishes, carpet systems, and furnishings. </t>
  </si>
  <si>
    <t>LEED EQ Credits 4.1-4.4: Low-Emitting Materials - Adhesives and Sealants (4.1), Paints and Coatings (4.2), Flooring Systems (4.3), and Composite Wood and Agrifiber Products (4.4)</t>
  </si>
  <si>
    <t xml:space="preserve">Follow the recommended approach of the Sheet Metal and Air Conditioning Contractor's National Association Indoor Air Quality Guidelines for Occupied Buildings under Construction, 2007. </t>
  </si>
  <si>
    <t>LEED EQ Credit 3.1: Construction Indoor Air Quality Management Plan - During Occupancy</t>
  </si>
  <si>
    <t xml:space="preserve">After construction and prior to occupancy, conduct a minimum 72-hour flush-out with maximum outdoor air consistent with achieving relative humidity no greater than 60 percent. After occupancy, continue flush-out as necessary to minimize exposure to contaminants from new building materials. </t>
  </si>
  <si>
    <t>LEED EQ Credit 3.2: Construction Indoor Air Quality Management Plan - Before Occupancy</t>
  </si>
  <si>
    <t xml:space="preserve">Implement a policy and post signage indicating that smoking is prohibited within the building and within 25 feet of all building entrances, operable windows, and building ventilation intakes during building occupancy. </t>
  </si>
  <si>
    <t>GSA Federal Register: December 22, 2008 (Volume 73, Number 246), Federal Leadership in High Performance and Sustainable Buildings MOU</t>
  </si>
  <si>
    <t>Federal Register - Protecting Federal Employees from Environmental Tobacco Smoke</t>
  </si>
  <si>
    <t>LEED EQ Prerequisite 2: Environmental Tobacco Smoke (ETS) Control</t>
  </si>
  <si>
    <t>HPSB V: Reduce Environmental Impact of Materials</t>
  </si>
  <si>
    <t xml:space="preserve">Per Section 6002 of the Resource Conservation and Recovery Act (RCRA), for EPA-designated products, specify products meeting or exceeding EPA's recycled content recommendations. For other products, specify materials with recycled content when practicable. If EPA-designated products meet performance requirements and are available at a reasonable cost, a preference for purchasing them shall be included in all solicitations relevant to construction, operation, maintenance of or use in the building. </t>
  </si>
  <si>
    <t>EPA's Comprehensive Procurement Guideline Website</t>
  </si>
  <si>
    <t>RCRA 2002, Sec 6002, Federal Leadership in High Performance and Sustainable Buildings MOU</t>
  </si>
  <si>
    <t>RCRA 2002</t>
  </si>
  <si>
    <t>LEED MR Credit 4.1-4.2: Recycled Content - 10% of Content (4.1), 20% of Content (4.2)</t>
  </si>
  <si>
    <t xml:space="preserve">Per Section 9002 of the Farm Security and Rural Investment Act (FSRIA), for USDA-designated products, specify products with the highest content level per USDA's biobased content recommendations. For other products, specify biobased products made from rapidly renewable resources and certified sustainable wood products. If these designated products meet performance requirements and are available at a reasonable cost, a preference for purchasing them shall be included in all solicitations relevant to construction, operation, maintenance of or use in the building. </t>
  </si>
  <si>
    <t>USDA's Biopreferred Website</t>
  </si>
  <si>
    <t>FSRIA 2002 Section 9002, Federal Leadership in High Performance and Sustainable Buildings MOU</t>
  </si>
  <si>
    <t>FSRIA 2002</t>
  </si>
  <si>
    <t>LEED MR Credit 6: Rapidly Renewable Materials
LEED MR Credit 7: Certified Wood</t>
  </si>
  <si>
    <t xml:space="preserve">Use products that have a lesser or reduced effect on human health and the environment over their lifecycle when compared with competing products or services that serve the same purpose. A number of standards and ecolabels are available in the marketplace to assist specifiers in making environmentally preferable decisions. </t>
  </si>
  <si>
    <t>WBDG Federal Green Construction Guide</t>
  </si>
  <si>
    <t xml:space="preserve">Incorporate adequate space, equipment, and transport accommodations for recycling in the building design. </t>
  </si>
  <si>
    <t>EO 13423, Sec 2(e), Federal Leadership in High Performance and Sustainable Buildings MOU</t>
  </si>
  <si>
    <t>Executive Order 13423</t>
  </si>
  <si>
    <t>LEED MR Prerequisite 1: Storage and Collection of Recyclables</t>
  </si>
  <si>
    <t xml:space="preserve">During a project's planning stage, identify local recycling and salvage operations that could process site-related construction and demolition materials. Provide salvage, reuse and recycling services for waste generated from major renovations, where markets or onsite recycling opportunities exist. During construction, recycle or salvage at least 50 percent of the non-hazardous construction, demolition and land clearing materials, excluding soil, where markets or onsite recycling opportunities exist.   </t>
  </si>
  <si>
    <t>LEED MR Credit 2.1: Construction Waste Management</t>
  </si>
  <si>
    <t xml:space="preserve">Eliminate the use of ozone depleting compounds during and after construction where alternative environmentally preferable products are available, consistent with either the Montreal Protocol and Title VI of the Clean Air Act Amendments of 1990, or equivalent overall air quality benefits that take into account lifecycle impacts. </t>
  </si>
  <si>
    <t>LEED EA Credit 4: Enhanced Refrigerant Management</t>
  </si>
  <si>
    <t>LEED EA Prerequisite 3: Fundamental Refrigerant Management</t>
  </si>
  <si>
    <t>Fuel Conversions</t>
  </si>
  <si>
    <t>City:</t>
  </si>
  <si>
    <t>State:</t>
  </si>
  <si>
    <t>Country:</t>
  </si>
  <si>
    <t>Building:</t>
  </si>
  <si>
    <t>Legend:</t>
  </si>
  <si>
    <t>Qualitative Compliance:</t>
  </si>
  <si>
    <t>Overall Rating:</t>
  </si>
  <si>
    <t>Renewable</t>
  </si>
  <si>
    <t>Condinsate Water Capture</t>
  </si>
  <si>
    <t>Grey Water Harvesting Systems (Gallons)</t>
  </si>
  <si>
    <t xml:space="preserve">Rainwater Harvesting </t>
  </si>
  <si>
    <t>SurveyData</t>
  </si>
  <si>
    <t>Pursuing formal LEED® Certification</t>
  </si>
  <si>
    <t>Date Project Registered with USGBC (MM/DD/YY)</t>
  </si>
  <si>
    <t>LEED® Rating System</t>
  </si>
  <si>
    <t>LEED® Credits Achievable</t>
  </si>
  <si>
    <t>LEED® Credits Awarded by GBCI (e.g. 42)</t>
  </si>
  <si>
    <t>LEED® Energy and Water Credits Achievable</t>
  </si>
  <si>
    <t>No Entry</t>
  </si>
  <si>
    <t>Not Required</t>
  </si>
  <si>
    <t>Federal Requirements for High Performance Sustainable Buildings (HPSB)</t>
  </si>
  <si>
    <t>Achievable Points</t>
  </si>
  <si>
    <t>Possible Points</t>
  </si>
  <si>
    <t>HPSB I.1</t>
  </si>
  <si>
    <t>Federal Requirements</t>
  </si>
  <si>
    <t>HPSB I.2</t>
  </si>
  <si>
    <t>HPSB II.1</t>
  </si>
  <si>
    <t>Reduce energy use 30% Below ANSI/ASHRAE/IESNA Standard 90.1- 2007, OR</t>
  </si>
  <si>
    <t>Energy Efficiency, Achieve Option 1 or 2 and insert design percentage</t>
  </si>
  <si>
    <t>If not at least 30% below ANSI/ASHRAE/IESNA Standard 90.1- 2007, will the design achieve the maximum level of energy efficiency that is life-cycle cost-effective?</t>
  </si>
  <si>
    <t>Insert percentage below ANSI/ASHRAE/IESNA Standard 90.1-2007 in terms of energy use (e.g. 32)</t>
  </si>
  <si>
    <t>Insert building energy intensity (Btu/SF) calculated with the energy model per 10 CFR 433</t>
  </si>
  <si>
    <t>Roof Attributes (Recommended)</t>
  </si>
  <si>
    <t>Cool roof (LEED SS cr 7.2 or Energy Star)</t>
  </si>
  <si>
    <t>Green roof</t>
  </si>
  <si>
    <t>Solar electric</t>
  </si>
  <si>
    <t>Solar thermal</t>
  </si>
  <si>
    <t>Solar passive</t>
  </si>
  <si>
    <t>Achieve "Designed to Earn the Energy Star" rating - Benchmark from first year of operation (Recommended)</t>
  </si>
  <si>
    <t>HPSB II.2</t>
  </si>
  <si>
    <t>HPSB II.3</t>
  </si>
  <si>
    <t>Lifecycle cost assessment found solar hot water heater system not effective</t>
  </si>
  <si>
    <t>On-site Renewable Energy - Solar Hot Water Heater System</t>
  </si>
  <si>
    <t>When lifecycle cost effective, solar hot water system installed - min 30% demand</t>
  </si>
  <si>
    <t>Insert percentage achieved</t>
  </si>
  <si>
    <t>HPSB II.4</t>
  </si>
  <si>
    <t>Lifecycle cost assessment found renewable energy generation projects not effective</t>
  </si>
  <si>
    <t>On-site Renewable Energy</t>
  </si>
  <si>
    <t>When lifecycle cost effective, renewable energy generation projects installed</t>
  </si>
  <si>
    <t>Renewable energy type</t>
  </si>
  <si>
    <t>Insert first renewable energy type, if applicable</t>
  </si>
  <si>
    <t>Insert second renewable energy type, if applicable</t>
  </si>
  <si>
    <t>Insert generation capacity (kW)</t>
  </si>
  <si>
    <t>Insert percentage of total building</t>
  </si>
  <si>
    <t>HPSB II.5</t>
  </si>
  <si>
    <t>Water Metering: Select N/A if not used</t>
  </si>
  <si>
    <t>Measurement and Verification - Advanced Metering</t>
  </si>
  <si>
    <t>Electric Metering: Select N/A if not used</t>
  </si>
  <si>
    <t>Natural Gas Metering: Select N/A if not used</t>
  </si>
  <si>
    <t>Steam Metering: Select N/A if not used</t>
  </si>
  <si>
    <t>HPSB II.6</t>
  </si>
  <si>
    <t>EISA 2007 II.7</t>
  </si>
  <si>
    <t>EISA 2007 II.8</t>
  </si>
  <si>
    <t xml:space="preserve">HPSB III: Protect and Conserve Water   </t>
  </si>
  <si>
    <t>HPSB III.1</t>
  </si>
  <si>
    <t>Indoor Water - 20% Reduction</t>
  </si>
  <si>
    <t>HPSB III.2</t>
  </si>
  <si>
    <t>HPSB III.3</t>
  </si>
  <si>
    <t>HPSB III.4</t>
  </si>
  <si>
    <t>Insert cost to implement</t>
  </si>
  <si>
    <t>Outdoor Water - Achieve Pre-Development Hydrology when technically feasible, when disturbance &gt; 5,000 GSF</t>
  </si>
  <si>
    <t>HPSB III.5</t>
  </si>
  <si>
    <t>Energy efficiency measures using water were considered and the cost was included in lifecycle cost assessment</t>
  </si>
  <si>
    <t>Process water potable water use</t>
  </si>
  <si>
    <t>Energy efficiency measures using water were not considered for the design</t>
  </si>
  <si>
    <t>HPSB III.6</t>
  </si>
  <si>
    <t>HPSB III.7</t>
  </si>
  <si>
    <t xml:space="preserve">HPSB IV: Enhance Indoor Environmental Quality </t>
  </si>
  <si>
    <t>HPSB IV.1</t>
  </si>
  <si>
    <t>HPSB IV.2</t>
  </si>
  <si>
    <t>HPSB IV.3</t>
  </si>
  <si>
    <t>HPSB IV.4</t>
  </si>
  <si>
    <t>HPSB IV.5</t>
  </si>
  <si>
    <t>HPSB IV.6</t>
  </si>
  <si>
    <t>HPSB IV.7</t>
  </si>
  <si>
    <t>HPSB IV.8</t>
  </si>
  <si>
    <t>HPSB IV.9</t>
  </si>
  <si>
    <t>HPSB V.1</t>
  </si>
  <si>
    <t>HPSB V.2</t>
  </si>
  <si>
    <t>HPSB V.3</t>
  </si>
  <si>
    <t>HPSB V.4</t>
  </si>
  <si>
    <t>HPSB V.5</t>
  </si>
  <si>
    <t>HPSB V.6</t>
  </si>
  <si>
    <t>HPSB Totals</t>
  </si>
  <si>
    <t>Federal Requirements Achieved (29 line items)</t>
  </si>
  <si>
    <t>SurveyResult</t>
  </si>
  <si>
    <t>Federal Requirements Maybe Achieved</t>
  </si>
  <si>
    <t>Federal Requirements Not Achieved</t>
  </si>
  <si>
    <t xml:space="preserve">Sustainable Sites </t>
  </si>
  <si>
    <t xml:space="preserve">Prereq 1 </t>
  </si>
  <si>
    <t>Required</t>
  </si>
  <si>
    <t>Credit 1</t>
  </si>
  <si>
    <t>Site Selection</t>
  </si>
  <si>
    <t xml:space="preserve">Credit 2 </t>
  </si>
  <si>
    <t>Development Density &amp; Community Connectivity</t>
  </si>
  <si>
    <t>Credit 3</t>
  </si>
  <si>
    <t>Brownfield Redevelopment</t>
  </si>
  <si>
    <t>Credit 4.1</t>
  </si>
  <si>
    <r>
      <t>Alternative Transportation -</t>
    </r>
    <r>
      <rPr>
        <sz val="10"/>
        <rFont val="Arial"/>
        <family val="2"/>
      </rPr>
      <t xml:space="preserve"> Public Transportation Access</t>
    </r>
  </si>
  <si>
    <t>Credit 4.2</t>
  </si>
  <si>
    <r>
      <t>Alternative Transportation -</t>
    </r>
    <r>
      <rPr>
        <sz val="10"/>
        <rFont val="Arial"/>
        <family val="2"/>
      </rPr>
      <t xml:space="preserve"> Bicycle Storage &amp; Changing Rooms</t>
    </r>
  </si>
  <si>
    <t>Credit 4.3</t>
  </si>
  <si>
    <r>
      <t>Alternative Transportation -</t>
    </r>
    <r>
      <rPr>
        <sz val="10"/>
        <rFont val="Arial"/>
        <family val="2"/>
      </rPr>
      <t xml:space="preserve"> Low-Emitting &amp; Fuel Efficient Vehicles</t>
    </r>
  </si>
  <si>
    <t>Credit 4.4</t>
  </si>
  <si>
    <r>
      <t>Alternative Transportation -</t>
    </r>
    <r>
      <rPr>
        <sz val="10"/>
        <rFont val="Arial"/>
        <family val="2"/>
      </rPr>
      <t xml:space="preserve"> Parking Capacity</t>
    </r>
  </si>
  <si>
    <t>Credit 5.1</t>
  </si>
  <si>
    <r>
      <t xml:space="preserve">Site Development, </t>
    </r>
    <r>
      <rPr>
        <sz val="10"/>
        <rFont val="Arial"/>
        <family val="2"/>
      </rPr>
      <t>Protect or Restore Habitat</t>
    </r>
  </si>
  <si>
    <t>Credit 5.2</t>
  </si>
  <si>
    <r>
      <t xml:space="preserve">Site Development, </t>
    </r>
    <r>
      <rPr>
        <sz val="10"/>
        <rFont val="Arial"/>
        <family val="2"/>
      </rPr>
      <t>Maximize Open Space</t>
    </r>
  </si>
  <si>
    <t>Credit 6.1</t>
  </si>
  <si>
    <t>Credit 6.2</t>
  </si>
  <si>
    <t>Credit 7.1</t>
  </si>
  <si>
    <r>
      <t>Heat Island Effect -</t>
    </r>
    <r>
      <rPr>
        <sz val="10"/>
        <rFont val="Arial"/>
        <family val="2"/>
      </rPr>
      <t xml:space="preserve"> Non-Roof</t>
    </r>
  </si>
  <si>
    <t>Credit 7.2</t>
  </si>
  <si>
    <r>
      <t>Heat Island Effect -</t>
    </r>
    <r>
      <rPr>
        <sz val="10"/>
        <rFont val="Arial"/>
        <family val="2"/>
      </rPr>
      <t xml:space="preserve"> Roof</t>
    </r>
  </si>
  <si>
    <t>Credit 8</t>
  </si>
  <si>
    <t>Light Pollution Reduction</t>
  </si>
  <si>
    <t>Select which LEED® Interior Lighting Option was used</t>
  </si>
  <si>
    <t>Water Efficiency</t>
  </si>
  <si>
    <t>Prereq 1</t>
  </si>
  <si>
    <t>2 to 4</t>
  </si>
  <si>
    <t>Reduce Potable Water Use by 50% (HPSB GP3)</t>
  </si>
  <si>
    <t>Water Efficient Landscaping (HPSB GP3)</t>
  </si>
  <si>
    <t>No Potable Use or Irrigation (HPSB GP3)</t>
  </si>
  <si>
    <t>Innovative Wastewater Technologies</t>
  </si>
  <si>
    <t>30% Reduction (HPSB GP3)</t>
  </si>
  <si>
    <t>Water Use Reduction (HPSB GP3)</t>
  </si>
  <si>
    <t>35% Reduction (HPSB GP3)</t>
  </si>
  <si>
    <t>40% Reduction (HPSB GP3)</t>
  </si>
  <si>
    <t>Energy &amp; Atmosphere</t>
  </si>
  <si>
    <t xml:space="preserve">Prereq 2 </t>
  </si>
  <si>
    <t xml:space="preserve">Prereq 3 </t>
  </si>
  <si>
    <t>1 to 19</t>
  </si>
  <si>
    <t>12% for New Buildings/8% for Existing Building Renovations</t>
  </si>
  <si>
    <t>Optimize Energy Performance (HPSB GP2)</t>
  </si>
  <si>
    <t>14% for New Buildings/10% for Existing Building Renovations</t>
  </si>
  <si>
    <t>16% for New Buildings/12% for Existing Building Renovations</t>
  </si>
  <si>
    <t>18% for New Buildings/14% for Existing Building Renovations</t>
  </si>
  <si>
    <t>20% for New Buildings/16% for Existing Building Renovations</t>
  </si>
  <si>
    <t>22% for New Buildings/18% for Existing Building Renovations</t>
  </si>
  <si>
    <t>24% for New Buildings/20% for Existing Building Renovations</t>
  </si>
  <si>
    <t>26% for New Buildings/22% for Existing Building Renovations</t>
  </si>
  <si>
    <t>28% for New Buildings/24% for Existing Building Renovations</t>
  </si>
  <si>
    <t>30% for New Buildings/26% for Existing Building Renovations</t>
  </si>
  <si>
    <t>32% for New Buildings/28% for Existing Building Renovations</t>
  </si>
  <si>
    <t>34% for New Buildings/30% for Existing Building Renovations</t>
  </si>
  <si>
    <t>36% for New Buildings/32% for Existing Building Renovations</t>
  </si>
  <si>
    <t>38% for New Buildings/34% for Existing Building Renovations</t>
  </si>
  <si>
    <t>40% for New Buildings/36% for Existing Building Renovations</t>
  </si>
  <si>
    <t>42% for New Buildings/38% for Existing Building Renovations</t>
  </si>
  <si>
    <t>44% for New Buildings/40% for Existing Building Renovations</t>
  </si>
  <si>
    <t>46% for New Buildings/42% for Existing Building Renovations</t>
  </si>
  <si>
    <t>48%+ for New Buildings/44%+ for Existing Building Renovations</t>
  </si>
  <si>
    <t>Credit 2</t>
  </si>
  <si>
    <t>1 to 7</t>
  </si>
  <si>
    <t>On-site 1%</t>
  </si>
  <si>
    <t>On-Site Renewable Energy (HPSB GP2)</t>
  </si>
  <si>
    <t>On-site 3%</t>
  </si>
  <si>
    <t>On-site 5%</t>
  </si>
  <si>
    <t>On-site 7%</t>
  </si>
  <si>
    <t>On-site 9%</t>
  </si>
  <si>
    <t>On-site 11%</t>
  </si>
  <si>
    <t>On-site 13%</t>
  </si>
  <si>
    <t xml:space="preserve">Credit 4 </t>
  </si>
  <si>
    <t>Credit 5</t>
  </si>
  <si>
    <t xml:space="preserve">Credit 6 </t>
  </si>
  <si>
    <t>Green Power</t>
  </si>
  <si>
    <t>Materials &amp; Resources</t>
  </si>
  <si>
    <t>Credit 1.1</t>
  </si>
  <si>
    <r>
      <t xml:space="preserve">Building Reuse, </t>
    </r>
    <r>
      <rPr>
        <sz val="10"/>
        <rFont val="Arial"/>
        <family val="2"/>
      </rPr>
      <t>Maintain Existing Walls, Floors &amp; Roof</t>
    </r>
  </si>
  <si>
    <t>1 to 3</t>
  </si>
  <si>
    <t>Maintain 55% of Existing Walls, Floors &amp; Roof</t>
  </si>
  <si>
    <t>Maintain 75% of Existing Walls, Floors &amp; Roof</t>
  </si>
  <si>
    <t>Maintain 95% of Existing Walls, Floors &amp; Roof</t>
  </si>
  <si>
    <t>Credit 1.2</t>
  </si>
  <si>
    <r>
      <t xml:space="preserve">Building Reuse, </t>
    </r>
    <r>
      <rPr>
        <sz val="10"/>
        <rFont val="Arial"/>
        <family val="2"/>
      </rPr>
      <t>Maintain 50% of Interior Non-Structural Elements</t>
    </r>
  </si>
  <si>
    <t>1 to 2</t>
  </si>
  <si>
    <t>50% Recycled or Salvaged</t>
  </si>
  <si>
    <t>Construction Waste Management (HPSB GP5)</t>
  </si>
  <si>
    <t>75% Recycled or Salvaged</t>
  </si>
  <si>
    <t>Materials Reuse</t>
  </si>
  <si>
    <t>Credit 4</t>
  </si>
  <si>
    <t>Recycled Content (HPSB GP5)</t>
  </si>
  <si>
    <t>Regional Materials</t>
  </si>
  <si>
    <t>10% Extracted, Processed &amp; Manufactured</t>
  </si>
  <si>
    <t>20% Extracted, Processed &amp; Manufactured</t>
  </si>
  <si>
    <t>Credit 6</t>
  </si>
  <si>
    <t>Credit 7</t>
  </si>
  <si>
    <t>Indoor Environmental Quality</t>
  </si>
  <si>
    <t xml:space="preserve">Credit 1 </t>
  </si>
  <si>
    <t>Outside Air Delivery Monitoring</t>
  </si>
  <si>
    <t>Increased Ventilation</t>
  </si>
  <si>
    <t>Credit 3.1</t>
  </si>
  <si>
    <t>Credit 3.2</t>
  </si>
  <si>
    <t>Indoor Chemical &amp; Pollutant Source Control</t>
  </si>
  <si>
    <r>
      <t xml:space="preserve">Controllability of Systems, </t>
    </r>
    <r>
      <rPr>
        <sz val="10"/>
        <rFont val="Arial"/>
        <family val="2"/>
      </rPr>
      <t>Thermal Comfort</t>
    </r>
  </si>
  <si>
    <r>
      <t xml:space="preserve">Thermal Comfort, </t>
    </r>
    <r>
      <rPr>
        <sz val="10"/>
        <rFont val="Arial"/>
        <family val="2"/>
      </rPr>
      <t>Verification</t>
    </r>
  </si>
  <si>
    <t>Credit 8.1</t>
  </si>
  <si>
    <t>Credit 8.2</t>
  </si>
  <si>
    <r>
      <t>Daylight &amp; Views</t>
    </r>
    <r>
      <rPr>
        <sz val="10"/>
        <rFont val="Arial"/>
        <family val="2"/>
      </rPr>
      <t xml:space="preserve"> - Views for 90% of Spaces</t>
    </r>
  </si>
  <si>
    <t>Innovation &amp; Design Process</t>
  </si>
  <si>
    <t>Innovation in Design 1.1</t>
  </si>
  <si>
    <t>Select if ID 1.1 was for energy and/or water</t>
  </si>
  <si>
    <t>Innovation in Design 1.2</t>
  </si>
  <si>
    <t>Select if ID 1.2 was for energy and/or water</t>
  </si>
  <si>
    <t>Credit 1.3</t>
  </si>
  <si>
    <t>Innovation in Design 1.3</t>
  </si>
  <si>
    <t>Select if ID 1.3 was for energy and/or water</t>
  </si>
  <si>
    <t>Credit 1.4</t>
  </si>
  <si>
    <t>Innovation in Design 1.4</t>
  </si>
  <si>
    <t>Select if ID 1.4 was for energy and/or water</t>
  </si>
  <si>
    <t>Credit 1.5</t>
  </si>
  <si>
    <t>Innovation in Design 1.5</t>
  </si>
  <si>
    <t>Select if ID 1.5 was for energy and/or water</t>
  </si>
  <si>
    <t>LEED® Accredited Professional</t>
  </si>
  <si>
    <t>Regional Priority Credits</t>
  </si>
  <si>
    <t>Regional Priority 1.1</t>
  </si>
  <si>
    <t>Select if RP 1.1 was for energy and/or water</t>
  </si>
  <si>
    <t>Regional Priority 1.2</t>
  </si>
  <si>
    <t>Select if RP 1.2 was for energy and/or water</t>
  </si>
  <si>
    <t>Regional Priority 1.3</t>
  </si>
  <si>
    <t>Select if RP 1.3 was for energy and/or water</t>
  </si>
  <si>
    <t>Regional Priority 1.4</t>
  </si>
  <si>
    <t>Select if RP 1.4 was for energy and/or water</t>
  </si>
  <si>
    <t>LEED Project Totals  (pre-certification estimates)</t>
  </si>
  <si>
    <t>LEED® Credits Maybe Achievable</t>
  </si>
  <si>
    <t>LEED® Credits Not Achievable</t>
  </si>
  <si>
    <t>LEED® Prerequisites Achievable (out of 8)</t>
  </si>
  <si>
    <t>LEED® Prerequisites Achievable - Industrial (out of 7)</t>
  </si>
  <si>
    <t>Innovation and Design Energy and Water Credits Achievable</t>
  </si>
  <si>
    <t>Regional Priority Energy and Water Credits Achievable</t>
  </si>
  <si>
    <t>LEED® Certification Level Achievable</t>
  </si>
  <si>
    <r>
      <t xml:space="preserve">Certified: </t>
    </r>
    <r>
      <rPr>
        <sz val="10"/>
        <color indexed="63"/>
        <rFont val="Arial"/>
        <family val="2"/>
      </rPr>
      <t xml:space="preserve">40-49 points, </t>
    </r>
    <r>
      <rPr>
        <b/>
        <sz val="10"/>
        <color indexed="63"/>
        <rFont val="Arial"/>
        <family val="2"/>
      </rPr>
      <t xml:space="preserve">Silver: </t>
    </r>
    <r>
      <rPr>
        <sz val="10"/>
        <color indexed="63"/>
        <rFont val="Arial"/>
        <family val="2"/>
      </rPr>
      <t xml:space="preserve">50-59 points, </t>
    </r>
    <r>
      <rPr>
        <b/>
        <sz val="10"/>
        <color indexed="63"/>
        <rFont val="Arial"/>
        <family val="2"/>
      </rPr>
      <t>Gold:</t>
    </r>
    <r>
      <rPr>
        <sz val="10"/>
        <color indexed="63"/>
        <rFont val="Arial"/>
        <family val="2"/>
      </rPr>
      <t xml:space="preserve"> 60-79 points, </t>
    </r>
    <r>
      <rPr>
        <b/>
        <sz val="10"/>
        <color indexed="63"/>
        <rFont val="Arial"/>
        <family val="2"/>
      </rPr>
      <t>Platinum:</t>
    </r>
    <r>
      <rPr>
        <sz val="10"/>
        <color indexed="63"/>
        <rFont val="Arial"/>
        <family val="2"/>
      </rPr>
      <t xml:space="preserve"> 80-110</t>
    </r>
  </si>
  <si>
    <t>Yes</t>
  </si>
  <si>
    <t>Data-Entry Subquestions</t>
  </si>
  <si>
    <t>Compliance Indications:</t>
  </si>
  <si>
    <t>No - Not Compliant with Element</t>
  </si>
  <si>
    <t>Yes - Compliant with Element</t>
  </si>
  <si>
    <t>Maybe - Possible Compliance</t>
  </si>
  <si>
    <t xml:space="preserve">Element Color Coding: </t>
  </si>
  <si>
    <t xml:space="preserve">Overall Compliance with High Performance Sustainable Buildings (HPSB) Guiding Principles </t>
  </si>
  <si>
    <t xml:space="preserve">LEED® Energy and Water Credits Achievable </t>
  </si>
  <si>
    <t>LEED® Credits that meet Energy &amp; Water Criteria (may depend on technologies &amp; strategies). The DoD Sustainable Buildings Policy and AF Sustainable Design and Development Memorandum require a minimum of 20 energy and water credits for all projects seeking LEED certification. SS Credits 7.1-7.2, WE Credits 1.1 - 3, EA Credits 1-3 and Credits 5-6, IEQ Credit 1 and Credit 8.1 are always energy and water projects according to AF policy. SS Credit 8 is an energy and water credit if the project uses Option 1 for Indoor Lighting.  Innovation and Design and Regional Priority Credits must be specified as energy and water projects for inclusion.</t>
  </si>
  <si>
    <t>COMPLIANCE DASHBOARD</t>
  </si>
  <si>
    <t>Achieve energy performance 30% beyond ASHRAE 90.1-2007. [§109]</t>
  </si>
  <si>
    <t>Inst. Code:</t>
  </si>
  <si>
    <t>PA:</t>
  </si>
  <si>
    <t>Project/PA:</t>
  </si>
  <si>
    <t>Color Key:</t>
  </si>
  <si>
    <t>Actual</t>
  </si>
  <si>
    <t>Annual Fossil-Fuel Energy Usage</t>
  </si>
  <si>
    <t>WATER</t>
  </si>
  <si>
    <t>Non-Fossil, Non-Renewable Energy Usage</t>
  </si>
  <si>
    <t>RPUID:</t>
  </si>
  <si>
    <t>Inst.:</t>
  </si>
  <si>
    <t>Certification:</t>
  </si>
  <si>
    <t>Received:</t>
  </si>
  <si>
    <t>Reg. Number:</t>
  </si>
  <si>
    <t>Low Impact:</t>
  </si>
  <si>
    <t>I:</t>
  </si>
  <si>
    <t>II:</t>
  </si>
  <si>
    <t>III:</t>
  </si>
  <si>
    <t>IV:</t>
  </si>
  <si>
    <t>V:</t>
  </si>
  <si>
    <t>Energy &amp; Sustainability Mandates Worksheet</t>
  </si>
  <si>
    <t>Significant Legislative Requirements</t>
  </si>
  <si>
    <t>Does not include mandates prior to 2005 or those that are generally met</t>
  </si>
  <si>
    <t>Cool</t>
  </si>
  <si>
    <t>No</t>
  </si>
  <si>
    <t>Maybe</t>
  </si>
  <si>
    <t>Text Color Codes:</t>
  </si>
  <si>
    <t>LEED® 3.0 NC</t>
  </si>
  <si>
    <t>LEED® 3.0  NC Checklist</t>
  </si>
  <si>
    <t>Project #:</t>
  </si>
  <si>
    <t>On-Site, on the Installation, on Federal lands, or on Native American lands)</t>
  </si>
  <si>
    <t>Total On-site Renewable Electric:</t>
  </si>
  <si>
    <r>
      <t xml:space="preserve">___________________________ </t>
    </r>
    <r>
      <rPr>
        <i/>
        <sz val="11"/>
        <color rgb="FFFF0000"/>
        <rFont val="Calibri"/>
        <family val="2"/>
        <scheme val="minor"/>
      </rPr>
      <t>(kBTU)</t>
    </r>
  </si>
  <si>
    <r>
      <t xml:space="preserve">Type(s): ____________________ </t>
    </r>
    <r>
      <rPr>
        <i/>
        <sz val="11"/>
        <color rgb="FFFF0000"/>
        <rFont val="Calibri"/>
        <family val="2"/>
        <scheme val="minor"/>
      </rPr>
      <t>(kWh)</t>
    </r>
  </si>
  <si>
    <t>Ground Source Heat Pump/Geothermal</t>
  </si>
  <si>
    <t>Mechanical (e.g. Wind-driven Pump)</t>
  </si>
  <si>
    <t>Other Renewable Non-electric Energy</t>
  </si>
  <si>
    <t>Renewable Steam/Radiant HW Systems</t>
  </si>
  <si>
    <t>Air Heating (e.g. Transpired Panels)</t>
  </si>
  <si>
    <t>Entry/Drop-Down Box Selection</t>
  </si>
  <si>
    <t>Project:</t>
  </si>
  <si>
    <t>Square Footage:</t>
  </si>
  <si>
    <r>
      <t>Non-Electric Renewable Energy</t>
    </r>
    <r>
      <rPr>
        <b/>
        <i/>
        <sz val="11"/>
        <color rgb="FFFF0000"/>
        <rFont val="Calibri"/>
        <family val="2"/>
        <scheme val="minor"/>
      </rPr>
      <t xml:space="preserve"> (kBTU)</t>
    </r>
  </si>
  <si>
    <t>RECYCLED MATERIALS and WASTE DIVERSION</t>
  </si>
  <si>
    <t>Metered</t>
  </si>
  <si>
    <t>Grey - Not applicable filler; no input</t>
  </si>
  <si>
    <t>Green - Data input cells</t>
  </si>
  <si>
    <t>Blue - Calculated/auto-filled from another tab; no input</t>
  </si>
  <si>
    <t>Target</t>
  </si>
  <si>
    <t>ANNUAL ENERGY HARVEST</t>
  </si>
  <si>
    <t>= above kWh converted to kBTU:</t>
  </si>
  <si>
    <t>On-Site Steam/Hot Water (kBTU)</t>
  </si>
  <si>
    <t>Other On-Site Non-Fossil, Non-Renewable</t>
  </si>
  <si>
    <t>Waste Chart</t>
  </si>
  <si>
    <t>Disposed</t>
  </si>
  <si>
    <t>Diverted</t>
  </si>
  <si>
    <t>Avoided</t>
  </si>
  <si>
    <t>Waste Creation Avoided:</t>
  </si>
  <si>
    <t>Waste Recycled/Diverted:</t>
  </si>
  <si>
    <t>Waste Disposed of to Landfill:</t>
  </si>
  <si>
    <t>HPSB Guilding Principles</t>
  </si>
  <si>
    <t>GP OVERALL:</t>
  </si>
  <si>
    <t>IGNORE THIS SECTION: Math formulas for charts above</t>
  </si>
  <si>
    <t>Total Annual Fossil-Fuel Usage in kBTU:</t>
  </si>
  <si>
    <t>Total Non-Fossil, Non-Renewable Usage:</t>
  </si>
  <si>
    <t>Total Non-Renewable Energy Usage:</t>
  </si>
  <si>
    <t>Grid Renewable Energy/RECs (Off-site and on non-Federal and/or non-Native American lands)</t>
  </si>
  <si>
    <t>Annual Energy Usage (kBTU)</t>
  </si>
  <si>
    <t>ANNUAL ENERGY DEMAND</t>
  </si>
  <si>
    <t>Annual Renewable Energy Produced:</t>
  </si>
  <si>
    <t>Net Renewable Energy Used On-Site:</t>
  </si>
  <si>
    <t>Sum of all Sources Below:</t>
  </si>
  <si>
    <t>ANNUAL ENERGY CONSUMPTION BY SOURCE</t>
  </si>
  <si>
    <r>
      <t xml:space="preserve">Fossil-Fuel Derived Electric Grid   </t>
    </r>
    <r>
      <rPr>
        <sz val="11"/>
        <color rgb="FFFF0000"/>
        <rFont val="Calibri"/>
        <family val="2"/>
        <scheme val="minor"/>
      </rPr>
      <t>(kWh)</t>
    </r>
  </si>
  <si>
    <r>
      <t xml:space="preserve">Natural Gas </t>
    </r>
    <r>
      <rPr>
        <sz val="11"/>
        <color rgb="FFFF0000"/>
        <rFont val="Calibri"/>
        <family val="2"/>
        <scheme val="minor"/>
      </rPr>
      <t>(kBTU)</t>
    </r>
  </si>
  <si>
    <r>
      <t xml:space="preserve">Propane </t>
    </r>
    <r>
      <rPr>
        <sz val="11"/>
        <color rgb="FFFF0000"/>
        <rFont val="Calibri"/>
        <family val="2"/>
        <scheme val="minor"/>
      </rPr>
      <t>(kBTU)</t>
    </r>
  </si>
  <si>
    <r>
      <t xml:space="preserve">Steam/HW - Fossil-fuel Boiler Plant </t>
    </r>
    <r>
      <rPr>
        <sz val="11"/>
        <color rgb="FFFF0000"/>
        <rFont val="Calibri"/>
        <family val="2"/>
        <scheme val="minor"/>
      </rPr>
      <t>(kBTU)</t>
    </r>
  </si>
  <si>
    <r>
      <t>Fuel Oil</t>
    </r>
    <r>
      <rPr>
        <sz val="11"/>
        <color rgb="FFFF0000"/>
        <rFont val="Calibri"/>
        <family val="2"/>
        <scheme val="minor"/>
      </rPr>
      <t xml:space="preserve"> (kBTU)</t>
    </r>
  </si>
  <si>
    <r>
      <t xml:space="preserve">Coal </t>
    </r>
    <r>
      <rPr>
        <sz val="11"/>
        <color rgb="FFFF0000"/>
        <rFont val="Calibri"/>
        <family val="2"/>
        <scheme val="minor"/>
      </rPr>
      <t>(kBTU)</t>
    </r>
  </si>
  <si>
    <r>
      <t xml:space="preserve">Other Fossil Fuels  </t>
    </r>
    <r>
      <rPr>
        <sz val="11"/>
        <color rgb="FFFF0000"/>
        <rFont val="Calibri"/>
        <family val="2"/>
        <scheme val="minor"/>
      </rPr>
      <t>(kBTU)</t>
    </r>
  </si>
  <si>
    <r>
      <t xml:space="preserve">Non-Fossil Derived Electric Grid </t>
    </r>
    <r>
      <rPr>
        <sz val="11"/>
        <color rgb="FFFF0000"/>
        <rFont val="Calibri"/>
        <family val="2"/>
        <scheme val="minor"/>
      </rPr>
      <t>(kWh)</t>
    </r>
  </si>
  <si>
    <r>
      <t xml:space="preserve">On-site Nuclear Electric </t>
    </r>
    <r>
      <rPr>
        <sz val="11"/>
        <color rgb="FFFF0000"/>
        <rFont val="Calibri"/>
        <family val="2"/>
        <scheme val="minor"/>
      </rPr>
      <t>(kWh)</t>
    </r>
  </si>
  <si>
    <r>
      <t xml:space="preserve">Sun - Electric/Photovoltaic </t>
    </r>
    <r>
      <rPr>
        <sz val="11"/>
        <color rgb="FFFF0000"/>
        <rFont val="Calibri"/>
        <family val="2"/>
        <scheme val="minor"/>
      </rPr>
      <t>(kWh)</t>
    </r>
  </si>
  <si>
    <r>
      <t xml:space="preserve"> = converted to</t>
    </r>
    <r>
      <rPr>
        <sz val="11"/>
        <color rgb="FFFF0000"/>
        <rFont val="Calibri"/>
        <family val="2"/>
        <scheme val="minor"/>
      </rPr>
      <t xml:space="preserve"> kBTU:</t>
    </r>
  </si>
  <si>
    <r>
      <t xml:space="preserve">Wind - Electric </t>
    </r>
    <r>
      <rPr>
        <sz val="11"/>
        <color rgb="FFFF0000"/>
        <rFont val="Calibri"/>
        <family val="2"/>
        <scheme val="minor"/>
      </rPr>
      <t>(kWh)</t>
    </r>
  </si>
  <si>
    <r>
      <t xml:space="preserve">Water (Hydro/Ocean) - Electric </t>
    </r>
    <r>
      <rPr>
        <sz val="11"/>
        <color rgb="FFFF0000"/>
        <rFont val="Calibri"/>
        <family val="2"/>
        <scheme val="minor"/>
      </rPr>
      <t>(kWh)</t>
    </r>
  </si>
  <si>
    <r>
      <t xml:space="preserve">Waste (MSW/Landfill/Septic gas) </t>
    </r>
    <r>
      <rPr>
        <sz val="11"/>
        <color rgb="FFFF0000"/>
        <rFont val="Calibri"/>
        <family val="2"/>
        <scheme val="minor"/>
      </rPr>
      <t>(kWh)</t>
    </r>
  </si>
  <si>
    <r>
      <t xml:space="preserve">Geothermal Electric (Not GSHP) </t>
    </r>
    <r>
      <rPr>
        <sz val="11"/>
        <color rgb="FFFF0000"/>
        <rFont val="Calibri"/>
        <family val="2"/>
        <scheme val="minor"/>
      </rPr>
      <t>(kWh)</t>
    </r>
  </si>
  <si>
    <r>
      <t xml:space="preserve">Biomass/Biogas </t>
    </r>
    <r>
      <rPr>
        <sz val="11"/>
        <color rgb="FFFF0000"/>
        <rFont val="Calibri"/>
        <family val="2"/>
        <scheme val="minor"/>
      </rPr>
      <t>(kWh)</t>
    </r>
  </si>
  <si>
    <r>
      <t>Solar Water Heating</t>
    </r>
    <r>
      <rPr>
        <sz val="8"/>
        <color theme="1"/>
        <rFont val="Calibri"/>
        <family val="2"/>
        <scheme val="minor"/>
      </rPr>
      <t xml:space="preserve"> (Baseline=30% HW Demand)</t>
    </r>
  </si>
  <si>
    <t>- Renewable Energy Exported Off-Site:</t>
  </si>
  <si>
    <t>Annual Energy Demand:</t>
  </si>
  <si>
    <t>Fossil-Fuel Derived Energy Consumption:</t>
  </si>
  <si>
    <t>Non-Renewable, Non-Fossil-Fuel  Energy:</t>
  </si>
  <si>
    <t>Renewable Energy/RECs Exported Off-site:</t>
  </si>
  <si>
    <r>
      <t>Gross Energy Intensity</t>
    </r>
    <r>
      <rPr>
        <sz val="8"/>
        <rFont val="Calibri"/>
        <family val="2"/>
        <scheme val="minor"/>
      </rPr>
      <t xml:space="preserve"> (kBTU/SF)</t>
    </r>
  </si>
  <si>
    <r>
      <t>Fossil-Fuel Energy Intensity</t>
    </r>
    <r>
      <rPr>
        <sz val="8"/>
        <rFont val="Calibri"/>
        <family val="2"/>
        <scheme val="minor"/>
      </rPr>
      <t xml:space="preserve"> (kBTU/SF)</t>
    </r>
  </si>
  <si>
    <t>DASHBOARD</t>
  </si>
  <si>
    <r>
      <t>Water Intensity</t>
    </r>
    <r>
      <rPr>
        <sz val="8"/>
        <rFont val="Calibri"/>
        <family val="2"/>
        <scheme val="minor"/>
      </rPr>
      <t xml:space="preserve"> (Gal/SF)</t>
    </r>
  </si>
  <si>
    <t>EISA 2007 Savings Target from CBECS:</t>
  </si>
  <si>
    <t>Water Demand in Gallons                   Baseline:</t>
  </si>
  <si>
    <t>Net Savings Target:</t>
  </si>
  <si>
    <t>kUSD</t>
  </si>
  <si>
    <t>Total Energy Savings vs. Baseline:</t>
  </si>
  <si>
    <t>PERFORMANCE DATA &amp; STATISTICS</t>
  </si>
  <si>
    <t>Renewable Energy Production:</t>
  </si>
  <si>
    <t>Units:</t>
  </si>
  <si>
    <t>Gross Percentage of Annual Demand:</t>
  </si>
  <si>
    <t>Fossil-Fuel Derived Energy Savings vs. Baseline:</t>
  </si>
  <si>
    <t>Current</t>
  </si>
  <si>
    <t>Cell Color Key:</t>
  </si>
  <si>
    <t>Blue - Calculated/auto-filled from elsewhere; no user input</t>
  </si>
  <si>
    <t>Green - User data input</t>
  </si>
  <si>
    <t>High Performance Sustainabile Buildings - Guilding Principles Compliance Worksheet</t>
  </si>
  <si>
    <t>Certification Worksheet</t>
  </si>
  <si>
    <t>USGBC LEED</t>
  </si>
  <si>
    <t>Version M04.24</t>
  </si>
  <si>
    <t>Certification</t>
  </si>
  <si>
    <r>
      <t xml:space="preserve">ENERGY &amp; SUSTAINABILITY RECORD CARD  </t>
    </r>
    <r>
      <rPr>
        <sz val="6"/>
        <rFont val="Calibri"/>
        <family val="2"/>
      </rPr>
      <t>Ξ</t>
    </r>
    <r>
      <rPr>
        <sz val="6"/>
        <rFont val="Arial"/>
        <family val="2"/>
      </rPr>
      <t xml:space="preserve">  Version 1.0</t>
    </r>
  </si>
  <si>
    <t>CARD FORMAT POC: ERIC.MUCKLOW@US.ARMY.MIL</t>
  </si>
  <si>
    <t>Fayetteville</t>
  </si>
  <si>
    <t>NC</t>
  </si>
  <si>
    <t>USA</t>
  </si>
  <si>
    <t>Ft. Bragg</t>
  </si>
  <si>
    <t>xxx</t>
  </si>
  <si>
    <t>Tons</t>
  </si>
  <si>
    <t>XXXXX</t>
  </si>
  <si>
    <t>90.1-2007</t>
  </si>
  <si>
    <t>Project Manager Name, CESAS-PM-M</t>
  </si>
  <si>
    <t>912-652-XXXX</t>
  </si>
  <si>
    <t>XXXXX@usace.army.mil</t>
  </si>
  <si>
    <t>Brief Building Description / Special Energy &amp; Sustainability Highlights: Minor renovation of building. Revising partition locations, replacing interior finishes, replacement of fixtures in one restroom. Revising ductwork for revised room layouts.  Project does not meet LEED MPR and cannot obtain formal certification. HPSB items that are not applicable to project scope of work have been tagged “yes” at the HPSB Guiding Principles tab.</t>
  </si>
  <si>
    <t>Repairs and Renovations to Building XXX</t>
  </si>
  <si>
    <t>Sample Building XXX</t>
  </si>
</sst>
</file>

<file path=xl/styles.xml><?xml version="1.0" encoding="utf-8"?>
<styleSheet xmlns="http://schemas.openxmlformats.org/spreadsheetml/2006/main">
  <numFmts count="7">
    <numFmt numFmtId="164" formatCode="0.0%"/>
    <numFmt numFmtId="165" formatCode="0.0"/>
    <numFmt numFmtId="166" formatCode="[$-409]d\-mmm\-yy;@"/>
    <numFmt numFmtId="167" formatCode="&quot;$&quot;#,##0"/>
    <numFmt numFmtId="168" formatCode="&quot;$&quot;#,##0.00"/>
    <numFmt numFmtId="169" formatCode="#,##0.000"/>
    <numFmt numFmtId="170" formatCode="#,##0.0"/>
  </numFmts>
  <fonts count="10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Arial"/>
      <family val="2"/>
    </font>
    <font>
      <b/>
      <u/>
      <sz val="11"/>
      <name val="Arial"/>
      <family val="2"/>
    </font>
    <font>
      <b/>
      <u/>
      <sz val="10"/>
      <name val="Arial"/>
      <family val="2"/>
    </font>
    <font>
      <b/>
      <sz val="10"/>
      <name val="Arial"/>
      <family val="2"/>
    </font>
    <font>
      <sz val="11"/>
      <name val="Arial"/>
      <family val="2"/>
    </font>
    <font>
      <sz val="8"/>
      <name val="Arial"/>
      <family val="2"/>
    </font>
    <font>
      <b/>
      <sz val="8"/>
      <name val="Arial"/>
      <family val="2"/>
    </font>
    <font>
      <sz val="11"/>
      <name val="Times New Roman"/>
      <family val="1"/>
    </font>
    <font>
      <b/>
      <sz val="9"/>
      <name val="Arial"/>
      <family val="2"/>
    </font>
    <font>
      <sz val="12"/>
      <name val="Arial"/>
      <family val="2"/>
    </font>
    <font>
      <b/>
      <sz val="11"/>
      <color theme="1"/>
      <name val="Calibri"/>
      <family val="2"/>
      <scheme val="minor"/>
    </font>
    <font>
      <sz val="10"/>
      <color theme="1"/>
      <name val="Calibri"/>
      <family val="2"/>
      <scheme val="minor"/>
    </font>
    <font>
      <b/>
      <sz val="10"/>
      <color theme="0"/>
      <name val="Arial"/>
      <family val="2"/>
    </font>
    <font>
      <sz val="10"/>
      <color theme="0"/>
      <name val="Arial"/>
      <family val="2"/>
    </font>
    <font>
      <sz val="10"/>
      <name val="Times New Roman"/>
      <family val="1"/>
    </font>
    <font>
      <b/>
      <sz val="11"/>
      <color theme="0"/>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b/>
      <i/>
      <sz val="11"/>
      <color theme="1"/>
      <name val="Calibri"/>
      <family val="2"/>
      <scheme val="minor"/>
    </font>
    <font>
      <i/>
      <sz val="10"/>
      <name val="Arial"/>
      <family val="2"/>
    </font>
    <font>
      <b/>
      <sz val="11"/>
      <color theme="1"/>
      <name val="Arial Narrow"/>
      <family val="2"/>
    </font>
    <font>
      <b/>
      <sz val="16"/>
      <color theme="0"/>
      <name val="Arial"/>
      <family val="2"/>
    </font>
    <font>
      <sz val="9"/>
      <color indexed="81"/>
      <name val="Tahoma"/>
      <family val="2"/>
    </font>
    <font>
      <b/>
      <sz val="9"/>
      <color indexed="81"/>
      <name val="Tahoma"/>
      <family val="2"/>
    </font>
    <font>
      <sz val="18"/>
      <name val="Arial Rounded MT Bold"/>
      <family val="2"/>
    </font>
    <font>
      <sz val="12"/>
      <color indexed="10"/>
      <name val="Arial Black"/>
      <family val="2"/>
    </font>
    <font>
      <i/>
      <sz val="12"/>
      <name val="Arial"/>
      <family val="2"/>
    </font>
    <font>
      <sz val="10"/>
      <name val="Wingdings 2"/>
      <family val="1"/>
      <charset val="2"/>
    </font>
    <font>
      <b/>
      <sz val="12"/>
      <color indexed="9"/>
      <name val="Times New Roman"/>
      <family val="1"/>
    </font>
    <font>
      <u/>
      <sz val="12"/>
      <color indexed="12"/>
      <name val="Arial"/>
      <family val="2"/>
    </font>
    <font>
      <b/>
      <i/>
      <sz val="11"/>
      <name val="Times New Roman"/>
      <family val="1"/>
    </font>
    <font>
      <i/>
      <sz val="10"/>
      <name val="Times New Roman"/>
      <family val="1"/>
    </font>
    <font>
      <i/>
      <sz val="10"/>
      <color indexed="10"/>
      <name val="Times New Roman"/>
      <family val="1"/>
    </font>
    <font>
      <sz val="10"/>
      <color indexed="55"/>
      <name val="Times New Roman"/>
      <family val="1"/>
    </font>
    <font>
      <b/>
      <i/>
      <sz val="10"/>
      <name val="Times New Roman"/>
      <family val="1"/>
    </font>
    <font>
      <sz val="10"/>
      <name val="Arial Black"/>
      <family val="2"/>
    </font>
    <font>
      <b/>
      <sz val="12"/>
      <name val="Arial Black"/>
      <family val="2"/>
    </font>
    <font>
      <b/>
      <sz val="14"/>
      <name val="Arial Black"/>
      <family val="2"/>
    </font>
    <font>
      <sz val="12"/>
      <color theme="0" tint="-0.499984740745262"/>
      <name val="Arial Black"/>
      <family val="2"/>
    </font>
    <font>
      <sz val="10"/>
      <name val="Trebuchet MS"/>
      <family val="2"/>
    </font>
    <font>
      <b/>
      <sz val="13.5"/>
      <name val="Trebuchet MS"/>
      <family val="2"/>
    </font>
    <font>
      <b/>
      <sz val="10"/>
      <color indexed="9"/>
      <name val="Arial"/>
      <family val="2"/>
    </font>
    <font>
      <b/>
      <sz val="8"/>
      <color indexed="9"/>
      <name val="Arial"/>
      <family val="2"/>
    </font>
    <font>
      <u/>
      <sz val="8"/>
      <color indexed="12"/>
      <name val="Arial"/>
      <family val="2"/>
    </font>
    <font>
      <b/>
      <sz val="10"/>
      <color indexed="17"/>
      <name val="Arial"/>
      <family val="2"/>
    </font>
    <font>
      <sz val="10"/>
      <color indexed="17"/>
      <name val="Arial"/>
      <family val="2"/>
    </font>
    <font>
      <b/>
      <sz val="10"/>
      <color indexed="48"/>
      <name val="Arial"/>
      <family val="2"/>
    </font>
    <font>
      <sz val="10"/>
      <color indexed="48"/>
      <name val="Arial"/>
      <family val="2"/>
    </font>
    <font>
      <b/>
      <sz val="10"/>
      <color indexed="55"/>
      <name val="Arial"/>
      <family val="2"/>
    </font>
    <font>
      <b/>
      <sz val="8"/>
      <color indexed="12"/>
      <name val="Arial"/>
      <family val="2"/>
    </font>
    <font>
      <b/>
      <sz val="8"/>
      <color indexed="17"/>
      <name val="Arial"/>
      <family val="2"/>
    </font>
    <font>
      <b/>
      <sz val="9"/>
      <color indexed="17"/>
      <name val="Arial"/>
      <family val="2"/>
    </font>
    <font>
      <b/>
      <sz val="9"/>
      <color indexed="48"/>
      <name val="Arial"/>
      <family val="2"/>
    </font>
    <font>
      <b/>
      <u/>
      <sz val="9"/>
      <color indexed="17"/>
      <name val="Arial"/>
      <family val="2"/>
    </font>
    <font>
      <b/>
      <u/>
      <sz val="10"/>
      <color indexed="23"/>
      <name val="Arial"/>
      <family val="2"/>
    </font>
    <font>
      <b/>
      <u/>
      <sz val="10"/>
      <color theme="0" tint="-0.499984740745262"/>
      <name val="Arial"/>
      <family val="2"/>
    </font>
    <font>
      <b/>
      <u/>
      <sz val="8"/>
      <color indexed="23"/>
      <name val="Arial"/>
      <family val="2"/>
    </font>
    <font>
      <b/>
      <u/>
      <sz val="9"/>
      <color indexed="48"/>
      <name val="Arial"/>
      <family val="2"/>
    </font>
    <font>
      <b/>
      <u/>
      <sz val="8"/>
      <color indexed="17"/>
      <name val="Arial"/>
      <family val="2"/>
    </font>
    <font>
      <u/>
      <sz val="9"/>
      <color indexed="12"/>
      <name val="Arial"/>
      <family val="2"/>
    </font>
    <font>
      <b/>
      <sz val="10"/>
      <name val="Times New Roman"/>
      <family val="1"/>
    </font>
    <font>
      <b/>
      <sz val="11"/>
      <color theme="1"/>
      <name val="Rockwell Extra Bold"/>
      <family val="1"/>
    </font>
    <font>
      <sz val="10"/>
      <color indexed="9"/>
      <name val="Arial"/>
      <family val="2"/>
    </font>
    <font>
      <sz val="9"/>
      <color indexed="9"/>
      <name val="Arial"/>
      <family val="2"/>
    </font>
    <font>
      <sz val="10"/>
      <color indexed="23"/>
      <name val="Arial"/>
      <family val="2"/>
    </font>
    <font>
      <sz val="10"/>
      <color theme="0" tint="-0.499984740745262"/>
      <name val="Arial"/>
      <family val="2"/>
    </font>
    <font>
      <b/>
      <sz val="10"/>
      <color indexed="23"/>
      <name val="Arial"/>
      <family val="2"/>
    </font>
    <font>
      <b/>
      <u/>
      <sz val="10"/>
      <color indexed="48"/>
      <name val="Arial"/>
      <family val="2"/>
    </font>
    <font>
      <b/>
      <u/>
      <sz val="10"/>
      <color indexed="17"/>
      <name val="Arial"/>
      <family val="2"/>
    </font>
    <font>
      <sz val="10"/>
      <color indexed="20"/>
      <name val="Arial"/>
      <family val="2"/>
    </font>
    <font>
      <sz val="10"/>
      <color indexed="63"/>
      <name val="Arial"/>
      <family val="2"/>
    </font>
    <font>
      <b/>
      <sz val="10"/>
      <color indexed="63"/>
      <name val="Arial"/>
      <family val="2"/>
    </font>
    <font>
      <b/>
      <sz val="14"/>
      <name val="Arial"/>
      <family val="2"/>
    </font>
    <font>
      <b/>
      <u/>
      <sz val="11"/>
      <name val="Calibri"/>
      <family val="2"/>
    </font>
    <font>
      <b/>
      <u/>
      <sz val="11"/>
      <name val="Calibri"/>
      <family val="2"/>
      <scheme val="minor"/>
    </font>
    <font>
      <sz val="8"/>
      <name val="Calibri"/>
      <family val="2"/>
      <scheme val="minor"/>
    </font>
    <font>
      <sz val="8"/>
      <color theme="0"/>
      <name val="Calibri"/>
      <family val="2"/>
      <scheme val="minor"/>
    </font>
    <font>
      <b/>
      <sz val="10"/>
      <color theme="1"/>
      <name val="Calibri"/>
      <family val="2"/>
      <scheme val="minor"/>
    </font>
    <font>
      <i/>
      <sz val="11"/>
      <color rgb="FFFF0000"/>
      <name val="Calibri"/>
      <family val="2"/>
      <scheme val="minor"/>
    </font>
    <font>
      <b/>
      <i/>
      <sz val="14"/>
      <color theme="0"/>
      <name val="Calibri"/>
      <family val="2"/>
      <scheme val="minor"/>
    </font>
    <font>
      <b/>
      <sz val="14"/>
      <color theme="0"/>
      <name val="Arial"/>
      <family val="2"/>
    </font>
    <font>
      <b/>
      <sz val="12"/>
      <color theme="0"/>
      <name val="Arial"/>
      <family val="2"/>
    </font>
    <font>
      <b/>
      <i/>
      <sz val="10"/>
      <name val="Arial"/>
      <family val="2"/>
    </font>
    <font>
      <b/>
      <i/>
      <sz val="11"/>
      <color rgb="FFFF0000"/>
      <name val="Calibri"/>
      <family val="2"/>
      <scheme val="minor"/>
    </font>
    <font>
      <sz val="8"/>
      <color theme="1"/>
      <name val="Arial"/>
      <family val="2"/>
    </font>
    <font>
      <u/>
      <sz val="8"/>
      <color theme="1"/>
      <name val="Arial"/>
      <family val="2"/>
    </font>
    <font>
      <b/>
      <i/>
      <sz val="12"/>
      <color theme="1"/>
      <name val="Calibri"/>
      <family val="2"/>
      <scheme val="minor"/>
    </font>
    <font>
      <sz val="11"/>
      <color rgb="FFFF0000"/>
      <name val="Calibri"/>
      <family val="2"/>
      <scheme val="minor"/>
    </font>
    <font>
      <sz val="8"/>
      <color theme="1"/>
      <name val="Calibri"/>
      <family val="2"/>
      <scheme val="minor"/>
    </font>
    <font>
      <b/>
      <sz val="9"/>
      <color theme="0"/>
      <name val="Arial"/>
      <family val="2"/>
    </font>
    <font>
      <i/>
      <sz val="8"/>
      <name val="Arial"/>
      <family val="2"/>
    </font>
    <font>
      <b/>
      <i/>
      <sz val="9"/>
      <color theme="0"/>
      <name val="Arial"/>
      <family val="2"/>
    </font>
    <font>
      <i/>
      <sz val="9"/>
      <name val="Arial"/>
      <family val="2"/>
    </font>
    <font>
      <b/>
      <sz val="12"/>
      <name val="Arial"/>
      <family val="2"/>
    </font>
    <font>
      <b/>
      <sz val="9"/>
      <color indexed="81"/>
      <name val="Tahoma"/>
      <charset val="1"/>
    </font>
    <font>
      <sz val="6"/>
      <name val="Arial"/>
      <family val="2"/>
    </font>
    <font>
      <sz val="6"/>
      <name val="Calibri"/>
      <family val="2"/>
    </font>
  </fonts>
  <fills count="35">
    <fill>
      <patternFill patternType="none"/>
    </fill>
    <fill>
      <patternFill patternType="gray125"/>
    </fill>
    <fill>
      <patternFill patternType="solid">
        <fgColor indexed="9"/>
        <bgColor indexed="24"/>
      </patternFill>
    </fill>
    <fill>
      <patternFill patternType="solid">
        <fgColor indexed="42"/>
        <bgColor indexed="24"/>
      </patternFill>
    </fill>
    <fill>
      <patternFill patternType="solid">
        <fgColor indexed="42"/>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
      <patternFill patternType="solid">
        <fgColor rgb="FFE1FFFF"/>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E1FFFF"/>
        <bgColor indexed="9"/>
      </patternFill>
    </fill>
    <fill>
      <patternFill patternType="solid">
        <fgColor rgb="FF007434"/>
        <bgColor rgb="FF007434"/>
      </patternFill>
    </fill>
    <fill>
      <patternFill patternType="solid">
        <fgColor indexed="62"/>
        <bgColor indexed="64"/>
      </patternFill>
    </fill>
    <fill>
      <patternFill patternType="solid">
        <fgColor theme="0" tint="-0.14999847407452621"/>
        <bgColor indexed="64"/>
      </patternFill>
    </fill>
    <fill>
      <patternFill patternType="solid">
        <fgColor indexed="8"/>
        <bgColor indexed="64"/>
      </patternFill>
    </fill>
    <fill>
      <patternFill patternType="solid">
        <fgColor indexed="22"/>
        <bgColor indexed="64"/>
      </patternFill>
    </fill>
    <fill>
      <patternFill patternType="solid">
        <fgColor rgb="FF002060"/>
        <bgColor indexed="64"/>
      </patternFill>
    </fill>
    <fill>
      <patternFill patternType="solid">
        <fgColor indexed="55"/>
        <bgColor indexed="64"/>
      </patternFill>
    </fill>
    <fill>
      <patternFill patternType="solid">
        <fgColor theme="1"/>
        <bgColor indexed="64"/>
      </patternFill>
    </fill>
    <fill>
      <patternFill patternType="solid">
        <fgColor indexed="43"/>
        <bgColor indexed="64"/>
      </patternFill>
    </fill>
    <fill>
      <patternFill patternType="solid">
        <fgColor rgb="FF008000"/>
        <bgColor indexed="64"/>
      </patternFill>
    </fill>
    <fill>
      <patternFill patternType="solid">
        <fgColor indexed="23"/>
        <bgColor indexed="64"/>
      </patternFill>
    </fill>
    <fill>
      <patternFill patternType="solid">
        <fgColor rgb="FFFF000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indexed="17"/>
        <bgColor indexed="64"/>
      </patternFill>
    </fill>
    <fill>
      <patternFill patternType="solid">
        <fgColor indexed="13"/>
        <bgColor indexed="64"/>
      </patternFill>
    </fill>
    <fill>
      <patternFill patternType="solid">
        <fgColor indexed="10"/>
        <bgColor indexed="64"/>
      </patternFill>
    </fill>
    <fill>
      <patternFill patternType="solid">
        <fgColor rgb="FFC0C0C0"/>
        <bgColor indexed="64"/>
      </patternFill>
    </fill>
    <fill>
      <patternFill patternType="solid">
        <fgColor indexed="63"/>
        <bgColor indexed="64"/>
      </patternFill>
    </fill>
    <fill>
      <patternFill patternType="solid">
        <fgColor rgb="FF0B14C5"/>
        <bgColor indexed="64"/>
      </patternFill>
    </fill>
  </fills>
  <borders count="102">
    <border>
      <left/>
      <right/>
      <top/>
      <bottom/>
      <diagonal/>
    </border>
    <border>
      <left/>
      <right/>
      <top/>
      <bottom style="double">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medium">
        <color indexed="8"/>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style="hair">
        <color indexed="8"/>
      </bottom>
      <diagonal/>
    </border>
    <border>
      <left style="medium">
        <color indexed="8"/>
      </left>
      <right style="medium">
        <color indexed="8"/>
      </right>
      <top/>
      <bottom/>
      <diagonal/>
    </border>
    <border>
      <left style="medium">
        <color indexed="8"/>
      </left>
      <right style="medium">
        <color indexed="8"/>
      </right>
      <top style="hair">
        <color indexed="8"/>
      </top>
      <bottom style="medium">
        <color indexed="8"/>
      </bottom>
      <diagonal/>
    </border>
    <border>
      <left/>
      <right style="medium">
        <color indexed="8"/>
      </right>
      <top/>
      <bottom/>
      <diagonal/>
    </border>
    <border>
      <left style="medium">
        <color indexed="8"/>
      </left>
      <right style="medium">
        <color indexed="8"/>
      </right>
      <top style="hair">
        <color indexed="8"/>
      </top>
      <bottom/>
      <diagonal/>
    </border>
    <border>
      <left style="medium">
        <color indexed="8"/>
      </left>
      <right style="medium">
        <color indexed="8"/>
      </right>
      <top/>
      <bottom style="medium">
        <color indexed="8"/>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medium">
        <color indexed="64"/>
      </left>
      <right style="thin">
        <color indexed="64"/>
      </right>
      <top style="thin">
        <color indexed="64"/>
      </top>
      <bottom/>
      <diagonal/>
    </border>
    <border>
      <left style="thin">
        <color indexed="63"/>
      </left>
      <right/>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thick">
        <color rgb="FF0B14C5"/>
      </bottom>
      <diagonal/>
    </border>
  </borders>
  <cellStyleXfs count="2">
    <xf numFmtId="0" fontId="0" fillId="0" borderId="0"/>
    <xf numFmtId="166" fontId="41" fillId="0" borderId="0" applyNumberFormat="0" applyFill="0" applyBorder="0" applyAlignment="0" applyProtection="0">
      <alignment vertical="top"/>
      <protection locked="0"/>
    </xf>
  </cellStyleXfs>
  <cellXfs count="830">
    <xf numFmtId="0" fontId="0" fillId="0" borderId="0" xfId="0"/>
    <xf numFmtId="0" fontId="0" fillId="0" borderId="0" xfId="0" applyProtection="1">
      <protection locked="0"/>
    </xf>
    <xf numFmtId="0" fontId="0" fillId="0" borderId="0" xfId="0"/>
    <xf numFmtId="0" fontId="27" fillId="0" borderId="0" xfId="0" applyFont="1"/>
    <xf numFmtId="0" fontId="0" fillId="11" borderId="0" xfId="0" applyFill="1"/>
    <xf numFmtId="0" fontId="26" fillId="11" borderId="0" xfId="0" applyFont="1" applyFill="1"/>
    <xf numFmtId="0" fontId="0" fillId="5" borderId="0" xfId="0" applyFill="1"/>
    <xf numFmtId="0" fontId="0" fillId="2" borderId="0" xfId="0" applyFill="1" applyProtection="1"/>
    <xf numFmtId="0" fontId="14" fillId="2" borderId="0" xfId="0" applyFont="1" applyFill="1" applyBorder="1" applyAlignment="1" applyProtection="1">
      <alignment horizontal="center"/>
    </xf>
    <xf numFmtId="0" fontId="16" fillId="0" borderId="0" xfId="0" applyFont="1" applyFill="1" applyBorder="1" applyProtection="1"/>
    <xf numFmtId="0" fontId="0" fillId="0" borderId="0" xfId="0" applyFill="1" applyBorder="1"/>
    <xf numFmtId="0" fontId="16" fillId="0" borderId="0" xfId="0" applyFont="1" applyFill="1" applyBorder="1" applyAlignment="1" applyProtection="1">
      <alignment vertical="center"/>
    </xf>
    <xf numFmtId="0" fontId="9" fillId="0" borderId="0" xfId="0" applyFont="1"/>
    <xf numFmtId="0" fontId="0" fillId="0" borderId="0" xfId="0" applyFill="1" applyBorder="1" applyAlignment="1">
      <alignment horizontal="centerContinuous"/>
    </xf>
    <xf numFmtId="0" fontId="0" fillId="0" borderId="50" xfId="0" applyFill="1" applyBorder="1" applyAlignment="1">
      <alignment horizontal="centerContinuous"/>
    </xf>
    <xf numFmtId="0" fontId="0" fillId="0" borderId="0" xfId="0"/>
    <xf numFmtId="0" fontId="36" fillId="0" borderId="0" xfId="0" applyFont="1"/>
    <xf numFmtId="0" fontId="37" fillId="0" borderId="0" xfId="0" applyFont="1" applyAlignment="1">
      <alignment horizontal="right"/>
    </xf>
    <xf numFmtId="0" fontId="20" fillId="0" borderId="0" xfId="0" applyFont="1"/>
    <xf numFmtId="0" fontId="38" fillId="0" borderId="0" xfId="0" applyFont="1"/>
    <xf numFmtId="0" fontId="39" fillId="0" borderId="57" xfId="0" applyFont="1" applyBorder="1" applyAlignment="1">
      <alignment horizontal="right" vertical="top"/>
    </xf>
    <xf numFmtId="0" fontId="0" fillId="0" borderId="57" xfId="0" applyBorder="1" applyAlignment="1">
      <alignment horizontal="left" vertical="top"/>
    </xf>
    <xf numFmtId="0" fontId="0" fillId="0" borderId="57" xfId="0" applyBorder="1" applyAlignment="1"/>
    <xf numFmtId="0" fontId="40" fillId="16" borderId="58" xfId="0" applyFont="1" applyFill="1" applyBorder="1" applyAlignment="1">
      <alignment horizontal="center" wrapText="1"/>
    </xf>
    <xf numFmtId="0" fontId="40" fillId="16" borderId="59" xfId="0" applyFont="1" applyFill="1" applyBorder="1" applyAlignment="1">
      <alignment horizontal="center" wrapText="1"/>
    </xf>
    <xf numFmtId="166" fontId="40" fillId="16" borderId="59" xfId="1" applyFont="1" applyFill="1" applyBorder="1" applyAlignment="1" applyProtection="1">
      <alignment horizontal="center" wrapText="1"/>
    </xf>
    <xf numFmtId="0" fontId="18" fillId="0" borderId="63" xfId="0" applyFont="1" applyBorder="1" applyAlignment="1">
      <alignment horizontal="right" vertical="top" wrapText="1"/>
    </xf>
    <xf numFmtId="0" fontId="25" fillId="0" borderId="64" xfId="0" applyFont="1" applyBorder="1" applyAlignment="1">
      <alignment vertical="top" wrapText="1"/>
    </xf>
    <xf numFmtId="0" fontId="25" fillId="0" borderId="60" xfId="0" applyFont="1" applyBorder="1" applyAlignment="1">
      <alignment vertical="top" wrapText="1"/>
    </xf>
    <xf numFmtId="0" fontId="25" fillId="0" borderId="62" xfId="0" applyFont="1" applyBorder="1" applyAlignment="1">
      <alignment vertical="top" wrapText="1"/>
    </xf>
    <xf numFmtId="0" fontId="42" fillId="0" borderId="62" xfId="0" applyFont="1" applyBorder="1" applyAlignment="1">
      <alignment vertical="top" wrapText="1"/>
    </xf>
    <xf numFmtId="166" fontId="43" fillId="0" borderId="62" xfId="0" applyNumberFormat="1" applyFont="1" applyBorder="1" applyAlignment="1">
      <alignment vertical="top" wrapText="1"/>
    </xf>
    <xf numFmtId="0" fontId="25" fillId="0" borderId="64" xfId="0" quotePrefix="1" applyFont="1" applyBorder="1" applyAlignment="1">
      <alignment horizontal="left" vertical="top" wrapText="1" indent="2"/>
    </xf>
    <xf numFmtId="0" fontId="43" fillId="0" borderId="62" xfId="0" applyFont="1" applyBorder="1" applyAlignment="1">
      <alignment vertical="top" wrapText="1"/>
    </xf>
    <xf numFmtId="0" fontId="44" fillId="0" borderId="64" xfId="0" applyFont="1" applyBorder="1" applyAlignment="1">
      <alignment horizontal="center" vertical="top" wrapText="1"/>
    </xf>
    <xf numFmtId="0" fontId="45" fillId="0" borderId="64" xfId="0" applyFont="1" applyBorder="1" applyAlignment="1">
      <alignment vertical="top" wrapText="1"/>
    </xf>
    <xf numFmtId="0" fontId="0" fillId="0" borderId="64" xfId="0" applyBorder="1" applyAlignment="1">
      <alignment vertical="top" wrapText="1"/>
    </xf>
    <xf numFmtId="0" fontId="42" fillId="0" borderId="60" xfId="0" applyFont="1" applyBorder="1" applyAlignment="1">
      <alignment vertical="top" wrapText="1"/>
    </xf>
    <xf numFmtId="0" fontId="46" fillId="0" borderId="64" xfId="0" applyFont="1" applyBorder="1" applyAlignment="1">
      <alignment vertical="top" wrapText="1"/>
    </xf>
    <xf numFmtId="0" fontId="39" fillId="17" borderId="63" xfId="0" applyFont="1" applyFill="1" applyBorder="1" applyAlignment="1">
      <alignment horizontal="center" vertical="top" wrapText="1"/>
    </xf>
    <xf numFmtId="0" fontId="48" fillId="8" borderId="63" xfId="0" applyFont="1" applyFill="1" applyBorder="1" applyAlignment="1">
      <alignment horizontal="center" vertical="top" wrapText="1"/>
    </xf>
    <xf numFmtId="0" fontId="39" fillId="17" borderId="65" xfId="0" applyFont="1" applyFill="1" applyBorder="1" applyAlignment="1">
      <alignment horizontal="center" vertical="top" wrapText="1"/>
    </xf>
    <xf numFmtId="0" fontId="39" fillId="0" borderId="66" xfId="0" applyFont="1" applyBorder="1" applyAlignment="1">
      <alignment horizontal="center" vertical="top" wrapText="1"/>
    </xf>
    <xf numFmtId="0" fontId="42" fillId="0" borderId="32" xfId="0" applyFont="1" applyBorder="1" applyAlignment="1">
      <alignment horizontal="right" vertical="center" wrapText="1"/>
    </xf>
    <xf numFmtId="9" fontId="49" fillId="10" borderId="67" xfId="0" applyNumberFormat="1" applyFont="1" applyFill="1" applyBorder="1" applyAlignment="1">
      <alignment horizontal="center" vertical="top" wrapText="1"/>
    </xf>
    <xf numFmtId="9" fontId="49" fillId="10" borderId="68" xfId="0" applyNumberFormat="1" applyFont="1" applyFill="1" applyBorder="1" applyAlignment="1">
      <alignment horizontal="center" vertical="top" wrapText="1"/>
    </xf>
    <xf numFmtId="9" fontId="49" fillId="10" borderId="69" xfId="0" applyNumberFormat="1" applyFont="1" applyFill="1" applyBorder="1" applyAlignment="1">
      <alignment horizontal="center" vertical="top" wrapText="1"/>
    </xf>
    <xf numFmtId="0" fontId="21" fillId="0" borderId="0" xfId="0" applyFont="1" applyFill="1" applyBorder="1" applyAlignment="1">
      <alignment horizontal="center"/>
    </xf>
    <xf numFmtId="2" fontId="21" fillId="0" borderId="0" xfId="0" applyNumberFormat="1" applyFont="1" applyFill="1" applyBorder="1" applyAlignment="1">
      <alignment horizontal="left"/>
    </xf>
    <xf numFmtId="2" fontId="21" fillId="0" borderId="7" xfId="0" applyNumberFormat="1" applyFont="1" applyFill="1" applyBorder="1" applyAlignment="1">
      <alignment horizontal="left"/>
    </xf>
    <xf numFmtId="2" fontId="21" fillId="0" borderId="0" xfId="0" applyNumberFormat="1" applyFont="1" applyFill="1" applyBorder="1" applyAlignment="1">
      <alignment horizontal="left" indent="2"/>
    </xf>
    <xf numFmtId="2" fontId="21" fillId="0" borderId="7" xfId="0" applyNumberFormat="1" applyFont="1" applyFill="1" applyBorder="1" applyAlignment="1">
      <alignment horizontal="left" indent="2"/>
    </xf>
    <xf numFmtId="0" fontId="52" fillId="0" borderId="70" xfId="0" applyFont="1" applyBorder="1" applyAlignment="1">
      <alignment horizontal="center" wrapText="1"/>
    </xf>
    <xf numFmtId="0" fontId="51" fillId="0" borderId="72" xfId="0" applyFont="1" applyBorder="1" applyAlignment="1">
      <alignment wrapText="1"/>
    </xf>
    <xf numFmtId="0" fontId="0" fillId="0" borderId="4" xfId="0" applyBorder="1" applyAlignment="1">
      <alignment horizontal="left" vertical="top" wrapText="1" indent="2"/>
    </xf>
    <xf numFmtId="0" fontId="54" fillId="18" borderId="75" xfId="0" applyFont="1" applyFill="1" applyBorder="1" applyAlignment="1" applyProtection="1">
      <alignment vertical="top" wrapText="1"/>
    </xf>
    <xf numFmtId="0" fontId="10" fillId="0" borderId="0" xfId="0" applyFont="1" applyBorder="1" applyAlignment="1" applyProtection="1">
      <alignment vertical="top" wrapText="1"/>
    </xf>
    <xf numFmtId="0" fontId="10" fillId="0" borderId="52" xfId="0" applyFont="1" applyFill="1" applyBorder="1" applyAlignment="1" applyProtection="1">
      <alignment vertical="top" wrapText="1"/>
    </xf>
    <xf numFmtId="0" fontId="55" fillId="0" borderId="51" xfId="0" applyFont="1" applyFill="1" applyBorder="1" applyAlignment="1" applyProtection="1">
      <alignment vertical="top" wrapText="1"/>
    </xf>
    <xf numFmtId="0" fontId="10" fillId="0" borderId="0" xfId="0" applyFont="1" applyFill="1" applyBorder="1" applyAlignment="1" applyProtection="1">
      <alignment vertical="top" wrapText="1"/>
    </xf>
    <xf numFmtId="0" fontId="10" fillId="0" borderId="3" xfId="0" applyFont="1" applyFill="1" applyBorder="1" applyAlignment="1" applyProtection="1">
      <alignment vertical="top" wrapText="1"/>
    </xf>
    <xf numFmtId="166" fontId="55" fillId="0" borderId="16" xfId="0" applyNumberFormat="1" applyFont="1" applyBorder="1" applyAlignment="1" applyProtection="1">
      <alignment vertical="top" wrapText="1"/>
      <protection locked="0"/>
    </xf>
    <xf numFmtId="0" fontId="31" fillId="19" borderId="3" xfId="0" applyFont="1" applyFill="1" applyBorder="1" applyAlignment="1" applyProtection="1">
      <alignment vertical="top" wrapText="1"/>
    </xf>
    <xf numFmtId="166" fontId="55" fillId="0" borderId="16" xfId="0" applyNumberFormat="1" applyFont="1" applyBorder="1" applyAlignment="1" applyProtection="1">
      <alignment vertical="top" wrapText="1"/>
    </xf>
    <xf numFmtId="0" fontId="56" fillId="0" borderId="3" xfId="0" applyFont="1" applyBorder="1" applyAlignment="1" applyProtection="1">
      <alignment vertical="top" wrapText="1"/>
    </xf>
    <xf numFmtId="0" fontId="16" fillId="0" borderId="16" xfId="0" applyFont="1" applyBorder="1" applyAlignment="1" applyProtection="1">
      <alignment vertical="top" wrapText="1"/>
    </xf>
    <xf numFmtId="0" fontId="61" fillId="0" borderId="16" xfId="0" applyFont="1" applyBorder="1" applyAlignment="1" applyProtection="1">
      <alignment vertical="top" wrapText="1"/>
    </xf>
    <xf numFmtId="0" fontId="56" fillId="0" borderId="49" xfId="0" applyFont="1" applyBorder="1" applyAlignment="1" applyProtection="1">
      <alignment vertical="top" wrapText="1"/>
    </xf>
    <xf numFmtId="0" fontId="61" fillId="0" borderId="35" xfId="0" applyFont="1" applyBorder="1" applyAlignment="1" applyProtection="1">
      <alignment vertical="top" wrapText="1"/>
    </xf>
    <xf numFmtId="0" fontId="53" fillId="21" borderId="3" xfId="0" applyFont="1" applyFill="1" applyBorder="1" applyAlignment="1" applyProtection="1">
      <alignment vertical="top" wrapText="1"/>
    </xf>
    <xf numFmtId="0" fontId="62" fillId="21" borderId="16" xfId="0" applyFont="1" applyFill="1" applyBorder="1" applyAlignment="1" applyProtection="1">
      <alignment vertical="top" wrapText="1"/>
    </xf>
    <xf numFmtId="0" fontId="10" fillId="0" borderId="0" xfId="0" applyFont="1" applyAlignment="1">
      <alignment vertical="top" wrapText="1"/>
    </xf>
    <xf numFmtId="166" fontId="13" fillId="0" borderId="52" xfId="0" applyNumberFormat="1" applyFont="1" applyFill="1" applyBorder="1" applyAlignment="1" applyProtection="1">
      <alignment vertical="top" wrapText="1"/>
    </xf>
    <xf numFmtId="166" fontId="55" fillId="0" borderId="51" xfId="0" applyNumberFormat="1" applyFont="1" applyFill="1" applyBorder="1" applyAlignment="1" applyProtection="1">
      <alignment vertical="top" wrapText="1"/>
    </xf>
    <xf numFmtId="166" fontId="19" fillId="0" borderId="3" xfId="0" applyNumberFormat="1" applyFont="1" applyFill="1" applyBorder="1" applyAlignment="1" applyProtection="1">
      <alignment horizontal="right" vertical="top" wrapText="1"/>
    </xf>
    <xf numFmtId="166" fontId="10" fillId="0" borderId="0" xfId="0" applyNumberFormat="1" applyFont="1" applyFill="1" applyBorder="1" applyAlignment="1" applyProtection="1">
      <alignment vertical="top" wrapText="1"/>
    </xf>
    <xf numFmtId="0" fontId="16" fillId="0" borderId="16" xfId="0" applyFont="1" applyBorder="1" applyAlignment="1">
      <alignment vertical="top" wrapText="1"/>
    </xf>
    <xf numFmtId="166" fontId="63" fillId="0" borderId="3" xfId="0" applyNumberFormat="1" applyFont="1" applyFill="1" applyBorder="1" applyAlignment="1" applyProtection="1">
      <alignment horizontal="right" vertical="top" wrapText="1"/>
    </xf>
    <xf numFmtId="0" fontId="16" fillId="0" borderId="16" xfId="0" applyFont="1" applyFill="1" applyBorder="1" applyAlignment="1" applyProtection="1">
      <alignment vertical="top" wrapText="1"/>
    </xf>
    <xf numFmtId="166" fontId="64" fillId="0" borderId="3" xfId="0" applyNumberFormat="1" applyFont="1" applyFill="1" applyBorder="1" applyAlignment="1" applyProtection="1">
      <alignment horizontal="right" vertical="top" wrapText="1"/>
    </xf>
    <xf numFmtId="166" fontId="55" fillId="0" borderId="51" xfId="0" applyNumberFormat="1" applyFont="1" applyBorder="1" applyAlignment="1" applyProtection="1">
      <alignment vertical="top" wrapText="1"/>
    </xf>
    <xf numFmtId="166" fontId="65" fillId="0" borderId="3" xfId="0" applyNumberFormat="1" applyFont="1" applyFill="1" applyBorder="1" applyAlignment="1" applyProtection="1">
      <alignment horizontal="right" vertical="top" wrapText="1"/>
    </xf>
    <xf numFmtId="166" fontId="64" fillId="0" borderId="49" xfId="0" applyNumberFormat="1" applyFont="1" applyFill="1" applyBorder="1" applyAlignment="1" applyProtection="1">
      <alignment horizontal="right" vertical="top" wrapText="1"/>
    </xf>
    <xf numFmtId="0" fontId="16" fillId="0" borderId="35" xfId="0" applyFont="1" applyFill="1" applyBorder="1" applyAlignment="1" applyProtection="1">
      <alignment vertical="top" wrapText="1"/>
    </xf>
    <xf numFmtId="0" fontId="55" fillId="0" borderId="16" xfId="0" applyFont="1" applyBorder="1" applyAlignment="1" applyProtection="1">
      <alignment vertical="top" wrapText="1"/>
    </xf>
    <xf numFmtId="166" fontId="55" fillId="0" borderId="16" xfId="0" applyNumberFormat="1" applyFont="1" applyFill="1" applyBorder="1" applyAlignment="1" applyProtection="1">
      <alignment vertical="top" wrapText="1"/>
    </xf>
    <xf numFmtId="166" fontId="66" fillId="0" borderId="3" xfId="0" applyNumberFormat="1" applyFont="1" applyFill="1" applyBorder="1" applyAlignment="1" applyProtection="1">
      <alignment vertical="top" wrapText="1"/>
    </xf>
    <xf numFmtId="0" fontId="16" fillId="0" borderId="35" xfId="0" applyFont="1" applyBorder="1" applyAlignment="1">
      <alignment vertical="top" wrapText="1"/>
    </xf>
    <xf numFmtId="166" fontId="67" fillId="0" borderId="52" xfId="0" applyNumberFormat="1" applyFont="1" applyFill="1" applyBorder="1" applyAlignment="1" applyProtection="1">
      <alignment vertical="top" wrapText="1"/>
    </xf>
    <xf numFmtId="166" fontId="68" fillId="0" borderId="16" xfId="0" applyNumberFormat="1" applyFont="1" applyFill="1" applyBorder="1" applyAlignment="1" applyProtection="1">
      <alignment vertical="top" wrapText="1"/>
    </xf>
    <xf numFmtId="166" fontId="69" fillId="0" borderId="49" xfId="0" applyNumberFormat="1" applyFont="1" applyFill="1" applyBorder="1" applyAlignment="1" applyProtection="1">
      <alignment horizontal="right" vertical="top" wrapText="1"/>
    </xf>
    <xf numFmtId="166" fontId="55" fillId="0" borderId="35" xfId="0" applyNumberFormat="1" applyFont="1" applyBorder="1" applyAlignment="1" applyProtection="1">
      <alignment vertical="top" wrapText="1"/>
      <protection locked="0"/>
    </xf>
    <xf numFmtId="166" fontId="69" fillId="0" borderId="3" xfId="0" applyNumberFormat="1" applyFont="1" applyFill="1" applyBorder="1" applyAlignment="1" applyProtection="1">
      <alignment horizontal="right" vertical="top" wrapText="1"/>
    </xf>
    <xf numFmtId="166" fontId="16" fillId="0" borderId="16" xfId="0" applyNumberFormat="1" applyFont="1" applyFill="1" applyBorder="1" applyAlignment="1" applyProtection="1">
      <alignment vertical="top" wrapText="1"/>
    </xf>
    <xf numFmtId="166" fontId="13" fillId="0" borderId="3" xfId="0" applyNumberFormat="1" applyFont="1" applyFill="1" applyBorder="1" applyAlignment="1" applyProtection="1">
      <alignment vertical="top" wrapText="1"/>
    </xf>
    <xf numFmtId="166" fontId="64" fillId="0" borderId="49" xfId="0" applyNumberFormat="1" applyFont="1" applyFill="1" applyBorder="1" applyAlignment="1" applyProtection="1">
      <alignment horizontal="right" vertical="top" wrapText="1"/>
    </xf>
    <xf numFmtId="166" fontId="70" fillId="0" borderId="16" xfId="0" applyNumberFormat="1" applyFont="1" applyFill="1" applyBorder="1" applyAlignment="1" applyProtection="1">
      <alignment vertical="top" wrapText="1"/>
    </xf>
    <xf numFmtId="166" fontId="16" fillId="0" borderId="35" xfId="0" applyNumberFormat="1" applyFont="1" applyFill="1" applyBorder="1" applyAlignment="1" applyProtection="1">
      <alignment vertical="top" wrapText="1"/>
    </xf>
    <xf numFmtId="0" fontId="55" fillId="0" borderId="16" xfId="0" applyFont="1" applyFill="1" applyBorder="1" applyAlignment="1" applyProtection="1">
      <alignment vertical="top" wrapText="1"/>
    </xf>
    <xf numFmtId="0" fontId="71" fillId="0" borderId="16" xfId="0" applyFont="1" applyBorder="1" applyAlignment="1" applyProtection="1">
      <alignment vertical="top" wrapText="1"/>
    </xf>
    <xf numFmtId="166" fontId="69" fillId="0" borderId="6" xfId="0" applyNumberFormat="1" applyFont="1" applyFill="1" applyBorder="1" applyAlignment="1" applyProtection="1">
      <alignment horizontal="right" vertical="top" wrapText="1"/>
    </xf>
    <xf numFmtId="166" fontId="16" fillId="0" borderId="76" xfId="0" applyNumberFormat="1" applyFont="1" applyFill="1" applyBorder="1" applyAlignment="1" applyProtection="1">
      <alignment vertical="top" wrapText="1"/>
    </xf>
    <xf numFmtId="0" fontId="14" fillId="0" borderId="0" xfId="0" applyFont="1" applyAlignment="1">
      <alignment vertical="top" wrapText="1"/>
    </xf>
    <xf numFmtId="0" fontId="16" fillId="0" borderId="0" xfId="0" applyFont="1" applyAlignment="1">
      <alignment vertical="top" wrapText="1"/>
    </xf>
    <xf numFmtId="0" fontId="31" fillId="0" borderId="4" xfId="0" applyFont="1" applyFill="1" applyBorder="1" applyAlignment="1">
      <alignment horizontal="left" vertical="top"/>
    </xf>
    <xf numFmtId="0" fontId="0" fillId="0" borderId="4" xfId="0" applyFill="1" applyBorder="1" applyAlignment="1">
      <alignment horizontal="left" vertical="top" wrapText="1" indent="2"/>
    </xf>
    <xf numFmtId="0" fontId="0" fillId="0" borderId="2" xfId="0" applyFill="1" applyBorder="1" applyAlignment="1">
      <alignment horizontal="centerContinuous"/>
    </xf>
    <xf numFmtId="0" fontId="31" fillId="0" borderId="0" xfId="0" applyFont="1" applyFill="1" applyBorder="1" applyAlignment="1">
      <alignment horizontal="left" vertical="top"/>
    </xf>
    <xf numFmtId="0" fontId="0" fillId="0" borderId="0" xfId="0" applyFill="1" applyBorder="1" applyAlignment="1">
      <alignment horizontal="left" vertical="top" wrapText="1" indent="2"/>
    </xf>
    <xf numFmtId="0" fontId="0" fillId="0" borderId="0" xfId="0" applyBorder="1" applyAlignment="1">
      <alignment horizontal="left" vertical="top" wrapText="1" indent="2"/>
    </xf>
    <xf numFmtId="0" fontId="0" fillId="0" borderId="7" xfId="0" applyBorder="1" applyAlignment="1">
      <alignment horizontal="left" vertical="top" wrapText="1" indent="2"/>
    </xf>
    <xf numFmtId="0" fontId="0" fillId="0" borderId="8" xfId="0" applyBorder="1" applyAlignment="1">
      <alignment horizontal="left" vertical="top" wrapText="1" indent="2"/>
    </xf>
    <xf numFmtId="0" fontId="0" fillId="0" borderId="2" xfId="0" applyBorder="1" applyAlignment="1">
      <alignment wrapText="1"/>
    </xf>
    <xf numFmtId="0" fontId="0" fillId="0" borderId="0" xfId="0" applyBorder="1" applyAlignment="1">
      <alignment wrapText="1"/>
    </xf>
    <xf numFmtId="0" fontId="7" fillId="0" borderId="0" xfId="0" applyFont="1"/>
    <xf numFmtId="0" fontId="0" fillId="0" borderId="7" xfId="0" applyBorder="1" applyAlignment="1">
      <alignment wrapText="1"/>
    </xf>
    <xf numFmtId="9" fontId="48" fillId="8" borderId="63" xfId="0" applyNumberFormat="1" applyFont="1" applyFill="1" applyBorder="1" applyAlignment="1">
      <alignment horizontal="center" vertical="top" wrapText="1"/>
    </xf>
    <xf numFmtId="9" fontId="50" fillId="10" borderId="63" xfId="0" applyNumberFormat="1" applyFont="1" applyFill="1" applyBorder="1" applyAlignment="1">
      <alignment horizontal="center" vertical="top" wrapText="1"/>
    </xf>
    <xf numFmtId="0" fontId="72" fillId="0" borderId="64" xfId="0" applyFont="1" applyBorder="1" applyAlignment="1">
      <alignment vertical="top" wrapText="1"/>
    </xf>
    <xf numFmtId="0" fontId="27" fillId="0" borderId="0" xfId="0" applyFont="1" applyFill="1"/>
    <xf numFmtId="0" fontId="0" fillId="0" borderId="0" xfId="0" applyFill="1"/>
    <xf numFmtId="0" fontId="0" fillId="0" borderId="0" xfId="0" applyFill="1" applyBorder="1" applyAlignment="1">
      <alignment horizontal="left" indent="1"/>
    </xf>
    <xf numFmtId="0" fontId="9" fillId="0" borderId="0" xfId="0" applyFont="1" applyFill="1"/>
    <xf numFmtId="0" fontId="8" fillId="0" borderId="0" xfId="0" applyFont="1" applyFill="1" applyBorder="1" applyAlignment="1">
      <alignment horizontal="left" indent="1"/>
    </xf>
    <xf numFmtId="0" fontId="27" fillId="0" borderId="0" xfId="0" applyFont="1" applyFill="1" applyBorder="1" applyAlignment="1">
      <alignment horizontal="left"/>
    </xf>
    <xf numFmtId="0" fontId="9" fillId="0" borderId="0" xfId="0" applyFont="1" applyFill="1" applyBorder="1" applyAlignment="1">
      <alignment horizontal="left" indent="1"/>
    </xf>
    <xf numFmtId="0" fontId="57" fillId="0" borderId="9" xfId="0" applyFont="1" applyBorder="1" applyAlignment="1" applyProtection="1">
      <alignment vertical="center"/>
      <protection hidden="1"/>
    </xf>
    <xf numFmtId="0" fontId="10" fillId="0" borderId="5" xfId="0" applyFont="1" applyBorder="1" applyAlignment="1" applyProtection="1">
      <alignment vertical="center"/>
      <protection hidden="1"/>
    </xf>
    <xf numFmtId="0" fontId="10" fillId="0" borderId="0" xfId="0" applyFont="1" applyBorder="1" applyAlignment="1" applyProtection="1">
      <alignment vertical="center"/>
      <protection locked="0"/>
    </xf>
    <xf numFmtId="0" fontId="14" fillId="0" borderId="0" xfId="0" applyFont="1" applyBorder="1" applyAlignment="1" applyProtection="1">
      <alignment horizontal="center" vertical="center"/>
      <protection locked="0"/>
    </xf>
    <xf numFmtId="0" fontId="57" fillId="0" borderId="0" xfId="0" applyFont="1" applyFill="1" applyBorder="1" applyAlignment="1" applyProtection="1">
      <alignment horizontal="left" vertical="center"/>
      <protection locked="0"/>
    </xf>
    <xf numFmtId="0" fontId="10" fillId="5" borderId="9" xfId="0" applyFont="1" applyFill="1" applyBorder="1" applyAlignment="1" applyProtection="1">
      <alignment vertical="center"/>
      <protection hidden="1"/>
    </xf>
    <xf numFmtId="0" fontId="10" fillId="0" borderId="0" xfId="0" applyFont="1" applyBorder="1" applyAlignment="1" applyProtection="1">
      <alignment vertical="center"/>
    </xf>
    <xf numFmtId="0" fontId="57" fillId="0" borderId="0"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0" fillId="0" borderId="0" xfId="0" applyFont="1" applyBorder="1" applyAlignment="1" applyProtection="1">
      <alignment vertical="center"/>
      <protection hidden="1"/>
    </xf>
    <xf numFmtId="0" fontId="14" fillId="0" borderId="0" xfId="0" applyFont="1" applyBorder="1" applyAlignment="1" applyProtection="1">
      <alignment vertical="center"/>
    </xf>
    <xf numFmtId="0" fontId="14" fillId="0" borderId="0" xfId="0" applyFont="1" applyFill="1" applyBorder="1" applyAlignment="1" applyProtection="1">
      <alignment vertical="center"/>
    </xf>
    <xf numFmtId="0" fontId="10" fillId="0" borderId="0" xfId="0" applyFont="1" applyBorder="1" applyAlignment="1" applyProtection="1">
      <alignment horizontal="left" vertical="top" wrapText="1"/>
      <protection locked="0"/>
    </xf>
    <xf numFmtId="0" fontId="10" fillId="0" borderId="0" xfId="0" applyFont="1" applyProtection="1"/>
    <xf numFmtId="0" fontId="10" fillId="0" borderId="4" xfId="0" applyFont="1" applyBorder="1" applyProtection="1"/>
    <xf numFmtId="0" fontId="10" fillId="0" borderId="7" xfId="0" applyFont="1" applyBorder="1" applyProtection="1"/>
    <xf numFmtId="0" fontId="10" fillId="0" borderId="8" xfId="0" applyFont="1" applyBorder="1" applyProtection="1"/>
    <xf numFmtId="0" fontId="14" fillId="0" borderId="0" xfId="0" applyFont="1" applyBorder="1" applyAlignment="1" applyProtection="1">
      <alignment horizontal="center" vertical="center"/>
    </xf>
    <xf numFmtId="0" fontId="53" fillId="18" borderId="32" xfId="0" applyFont="1" applyFill="1" applyBorder="1" applyAlignment="1" applyProtection="1">
      <alignment horizontal="left" vertical="center"/>
    </xf>
    <xf numFmtId="0" fontId="53" fillId="18" borderId="46" xfId="0" applyFont="1" applyFill="1" applyBorder="1" applyAlignment="1" applyProtection="1">
      <alignment vertical="center"/>
    </xf>
    <xf numFmtId="0" fontId="53" fillId="21" borderId="3" xfId="0" applyFont="1" applyFill="1" applyBorder="1" applyAlignment="1" applyProtection="1">
      <alignment horizontal="left" vertical="center"/>
    </xf>
    <xf numFmtId="0" fontId="53" fillId="21" borderId="0" xfId="0" applyFont="1" applyFill="1" applyBorder="1" applyAlignment="1" applyProtection="1">
      <alignment horizontal="right" vertical="center"/>
    </xf>
    <xf numFmtId="0" fontId="53" fillId="21" borderId="0" xfId="0" applyFont="1" applyFill="1" applyBorder="1" applyAlignment="1" applyProtection="1">
      <alignment horizontal="left" vertical="center"/>
    </xf>
    <xf numFmtId="0" fontId="75" fillId="21" borderId="0" xfId="0" applyFont="1" applyFill="1" applyBorder="1" applyAlignment="1" applyProtection="1">
      <alignment horizontal="right" vertical="center"/>
    </xf>
    <xf numFmtId="0" fontId="75" fillId="21" borderId="49" xfId="0" applyFont="1" applyFill="1" applyBorder="1" applyAlignment="1" applyProtection="1">
      <alignment horizontal="left" vertical="center"/>
    </xf>
    <xf numFmtId="0" fontId="53" fillId="21" borderId="37" xfId="0" applyFont="1" applyFill="1" applyBorder="1" applyAlignment="1" applyProtection="1">
      <alignment horizontal="left" vertical="center"/>
    </xf>
    <xf numFmtId="0" fontId="75" fillId="21" borderId="37" xfId="0" applyFont="1" applyFill="1" applyBorder="1" applyAlignment="1" applyProtection="1">
      <alignment horizontal="right" vertical="center"/>
    </xf>
    <xf numFmtId="0" fontId="14" fillId="4" borderId="11" xfId="0" applyFont="1" applyFill="1" applyBorder="1" applyAlignment="1" applyProtection="1">
      <alignment horizontal="center" vertical="center"/>
      <protection locked="0"/>
    </xf>
    <xf numFmtId="0" fontId="76" fillId="0" borderId="31" xfId="0" applyFont="1" applyFill="1" applyBorder="1" applyAlignment="1" applyProtection="1">
      <alignment horizontal="left" vertical="center"/>
    </xf>
    <xf numFmtId="0" fontId="13" fillId="0" borderId="31" xfId="0" applyFont="1" applyBorder="1" applyAlignment="1" applyProtection="1"/>
    <xf numFmtId="0" fontId="56" fillId="0" borderId="31" xfId="0" applyFont="1" applyBorder="1" applyAlignment="1" applyProtection="1">
      <alignment vertical="center"/>
    </xf>
    <xf numFmtId="0" fontId="14" fillId="5" borderId="9" xfId="0" applyFont="1" applyFill="1" applyBorder="1" applyAlignment="1" applyProtection="1">
      <alignment horizontal="left" vertical="center"/>
      <protection hidden="1"/>
    </xf>
    <xf numFmtId="0" fontId="76" fillId="0" borderId="37" xfId="0" applyFont="1" applyFill="1" applyBorder="1" applyAlignment="1" applyProtection="1">
      <alignment horizontal="left" vertical="center"/>
    </xf>
    <xf numFmtId="0" fontId="13" fillId="0" borderId="37" xfId="0" applyFont="1" applyBorder="1" applyAlignment="1" applyProtection="1"/>
    <xf numFmtId="0" fontId="56" fillId="0" borderId="37" xfId="0" applyFont="1" applyBorder="1" applyAlignment="1" applyProtection="1">
      <alignment vertical="center"/>
    </xf>
    <xf numFmtId="0" fontId="53" fillId="21" borderId="52" xfId="0" applyFont="1" applyFill="1" applyBorder="1" applyAlignment="1" applyProtection="1">
      <alignment horizontal="left" vertical="center"/>
    </xf>
    <xf numFmtId="0" fontId="53" fillId="21" borderId="31" xfId="0" applyFont="1" applyFill="1" applyBorder="1" applyAlignment="1" applyProtection="1">
      <alignment horizontal="left" vertical="center"/>
    </xf>
    <xf numFmtId="0" fontId="75" fillId="21" borderId="31" xfId="0" applyFont="1" applyFill="1" applyBorder="1" applyAlignment="1" applyProtection="1">
      <alignment horizontal="right" vertical="center"/>
    </xf>
    <xf numFmtId="0" fontId="56" fillId="19" borderId="44" xfId="0" applyFont="1" applyFill="1" applyBorder="1" applyAlignment="1" applyProtection="1">
      <alignment horizontal="center" vertical="center"/>
    </xf>
    <xf numFmtId="166" fontId="76" fillId="0" borderId="0" xfId="0" applyNumberFormat="1" applyFont="1" applyFill="1" applyBorder="1" applyAlignment="1" applyProtection="1">
      <alignment horizontal="left" vertical="center"/>
    </xf>
    <xf numFmtId="0" fontId="13" fillId="0" borderId="0" xfId="0" applyFont="1" applyBorder="1" applyAlignment="1" applyProtection="1"/>
    <xf numFmtId="0" fontId="56" fillId="0" borderId="0" xfId="0" applyFont="1" applyBorder="1" applyAlignment="1" applyProtection="1">
      <alignment vertical="center"/>
    </xf>
    <xf numFmtId="0" fontId="56" fillId="0" borderId="5" xfId="0" applyFont="1" applyBorder="1" applyAlignment="1" applyProtection="1">
      <alignment vertical="center"/>
      <protection hidden="1"/>
    </xf>
    <xf numFmtId="166" fontId="76" fillId="0" borderId="3" xfId="0" applyNumberFormat="1" applyFont="1" applyFill="1" applyBorder="1" applyAlignment="1" applyProtection="1">
      <alignment vertical="center"/>
    </xf>
    <xf numFmtId="0" fontId="10" fillId="0" borderId="0" xfId="0" applyFont="1" applyFill="1" applyBorder="1" applyAlignment="1" applyProtection="1">
      <alignment horizontal="left" vertical="center"/>
    </xf>
    <xf numFmtId="0" fontId="14" fillId="4" borderId="5" xfId="0" applyFont="1" applyFill="1" applyBorder="1" applyAlignment="1" applyProtection="1">
      <alignment horizontal="center" vertical="center"/>
      <protection locked="0"/>
    </xf>
    <xf numFmtId="166" fontId="10" fillId="0" borderId="5" xfId="0" applyNumberFormat="1" applyFont="1" applyFill="1" applyBorder="1" applyAlignment="1" applyProtection="1">
      <alignment vertical="center"/>
    </xf>
    <xf numFmtId="164" fontId="10" fillId="23" borderId="5" xfId="0" applyNumberFormat="1" applyFont="1" applyFill="1" applyBorder="1" applyAlignment="1" applyProtection="1">
      <alignment horizontal="center" vertical="center"/>
      <protection locked="0"/>
    </xf>
    <xf numFmtId="166" fontId="10" fillId="23" borderId="5"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vertical="center"/>
    </xf>
    <xf numFmtId="166" fontId="10" fillId="27" borderId="5" xfId="0" applyNumberFormat="1" applyFont="1" applyFill="1" applyBorder="1" applyAlignment="1" applyProtection="1">
      <alignment horizontal="center" vertical="center"/>
    </xf>
    <xf numFmtId="166" fontId="77" fillId="0" borderId="0" xfId="0" applyNumberFormat="1" applyFont="1" applyFill="1" applyBorder="1" applyAlignment="1" applyProtection="1">
      <alignment vertical="center"/>
    </xf>
    <xf numFmtId="0" fontId="10" fillId="0" borderId="5" xfId="0" applyFont="1" applyFill="1" applyBorder="1" applyAlignment="1" applyProtection="1">
      <alignment vertical="center"/>
      <protection hidden="1"/>
    </xf>
    <xf numFmtId="166" fontId="77" fillId="0" borderId="0" xfId="0" applyNumberFormat="1" applyFont="1" applyFill="1" applyBorder="1" applyAlignment="1" applyProtection="1">
      <alignment horizontal="left" vertical="center" indent="2"/>
    </xf>
    <xf numFmtId="0" fontId="10" fillId="25" borderId="5" xfId="0" applyFont="1" applyFill="1" applyBorder="1" applyAlignment="1" applyProtection="1">
      <alignment horizontal="center" vertical="center"/>
      <protection locked="0"/>
    </xf>
    <xf numFmtId="166" fontId="76" fillId="0" borderId="0" xfId="0" applyNumberFormat="1" applyFont="1" applyFill="1" applyBorder="1" applyAlignment="1" applyProtection="1">
      <alignment vertical="center" wrapText="1"/>
    </xf>
    <xf numFmtId="166" fontId="53" fillId="0" borderId="0" xfId="0" applyNumberFormat="1" applyFont="1" applyFill="1" applyBorder="1" applyAlignment="1" applyProtection="1">
      <alignment vertical="center"/>
    </xf>
    <xf numFmtId="0" fontId="10" fillId="0" borderId="13" xfId="0" applyFont="1" applyFill="1" applyBorder="1" applyAlignment="1" applyProtection="1">
      <alignment vertical="center"/>
      <protection hidden="1"/>
    </xf>
    <xf numFmtId="0" fontId="56" fillId="19" borderId="11" xfId="0" applyFont="1" applyFill="1" applyBorder="1" applyAlignment="1" applyProtection="1">
      <alignment horizontal="center" vertical="center"/>
    </xf>
    <xf numFmtId="166" fontId="10" fillId="0" borderId="0" xfId="0" applyNumberFormat="1" applyFont="1" applyFill="1" applyBorder="1" applyAlignment="1" applyProtection="1">
      <alignment vertical="center" wrapText="1"/>
    </xf>
    <xf numFmtId="0" fontId="10" fillId="0" borderId="0" xfId="0" applyFont="1" applyFill="1" applyBorder="1" applyAlignment="1" applyProtection="1">
      <alignment vertical="top"/>
    </xf>
    <xf numFmtId="166" fontId="10" fillId="28" borderId="5" xfId="0" applyNumberFormat="1" applyFont="1" applyFill="1" applyBorder="1" applyAlignment="1" applyProtection="1">
      <alignment horizontal="center" vertical="center"/>
    </xf>
    <xf numFmtId="166" fontId="10" fillId="0" borderId="0" xfId="0" applyNumberFormat="1" applyFont="1" applyFill="1" applyBorder="1" applyAlignment="1" applyProtection="1">
      <alignment vertical="center"/>
    </xf>
    <xf numFmtId="165" fontId="10" fillId="23" borderId="5" xfId="0" applyNumberFormat="1" applyFont="1" applyFill="1" applyBorder="1" applyAlignment="1" applyProtection="1">
      <alignment horizontal="center" vertical="center"/>
      <protection locked="0"/>
    </xf>
    <xf numFmtId="166" fontId="10" fillId="0" borderId="0" xfId="0" applyNumberFormat="1" applyFont="1" applyFill="1" applyBorder="1" applyAlignment="1" applyProtection="1">
      <alignment horizontal="left" vertical="top" wrapText="1" indent="2"/>
    </xf>
    <xf numFmtId="0" fontId="56" fillId="4" borderId="5" xfId="0" applyFont="1" applyFill="1" applyBorder="1" applyAlignment="1" applyProtection="1">
      <alignment horizontal="center" vertical="center"/>
      <protection locked="0"/>
    </xf>
    <xf numFmtId="0" fontId="10" fillId="25" borderId="11" xfId="0" applyFont="1" applyFill="1" applyBorder="1" applyAlignment="1" applyProtection="1">
      <alignment horizontal="center" vertical="center"/>
      <protection locked="0"/>
    </xf>
    <xf numFmtId="0" fontId="76" fillId="0" borderId="0" xfId="0" applyFont="1" applyFill="1" applyBorder="1" applyAlignment="1" applyProtection="1">
      <alignment horizontal="left" vertical="center"/>
    </xf>
    <xf numFmtId="0" fontId="67" fillId="0" borderId="0" xfId="0" applyFont="1" applyBorder="1" applyAlignment="1" applyProtection="1"/>
    <xf numFmtId="0" fontId="10" fillId="25" borderId="80" xfId="0" applyFont="1" applyFill="1" applyBorder="1" applyAlignment="1" applyProtection="1">
      <alignment horizontal="center" vertical="center"/>
      <protection locked="0"/>
    </xf>
    <xf numFmtId="0" fontId="10" fillId="0" borderId="13" xfId="0" applyFont="1" applyBorder="1" applyAlignment="1" applyProtection="1">
      <alignment vertical="center"/>
      <protection hidden="1"/>
    </xf>
    <xf numFmtId="0" fontId="14" fillId="19" borderId="44" xfId="0" applyFont="1" applyFill="1" applyBorder="1" applyAlignment="1" applyProtection="1">
      <alignment horizontal="center" vertical="center"/>
    </xf>
    <xf numFmtId="166" fontId="78" fillId="0" borderId="0" xfId="0" quotePrefix="1" applyNumberFormat="1" applyFont="1" applyFill="1" applyBorder="1" applyAlignment="1" applyProtection="1">
      <alignment horizontal="left" vertical="center"/>
    </xf>
    <xf numFmtId="0" fontId="13" fillId="0" borderId="0" xfId="0" quotePrefix="1" applyFont="1" applyBorder="1" applyAlignment="1" applyProtection="1"/>
    <xf numFmtId="168" fontId="10" fillId="23" borderId="5" xfId="0" applyNumberFormat="1" applyFont="1" applyFill="1" applyBorder="1" applyAlignment="1" applyProtection="1">
      <alignment horizontal="center" vertical="center"/>
      <protection locked="0"/>
    </xf>
    <xf numFmtId="0" fontId="13" fillId="0" borderId="0" xfId="0" applyFont="1" applyBorder="1"/>
    <xf numFmtId="166" fontId="53" fillId="0" borderId="37" xfId="0" applyNumberFormat="1" applyFont="1" applyFill="1" applyBorder="1" applyAlignment="1" applyProtection="1">
      <alignment vertical="center"/>
    </xf>
    <xf numFmtId="0" fontId="14" fillId="0" borderId="37" xfId="0" applyFont="1" applyFill="1" applyBorder="1" applyAlignment="1" applyProtection="1">
      <alignment vertical="center"/>
    </xf>
    <xf numFmtId="166" fontId="76" fillId="0" borderId="31" xfId="0" quotePrefix="1" applyNumberFormat="1" applyFont="1" applyFill="1" applyBorder="1" applyAlignment="1" applyProtection="1">
      <alignment horizontal="left" vertical="center"/>
    </xf>
    <xf numFmtId="0" fontId="14" fillId="0" borderId="31" xfId="0" applyFont="1" applyBorder="1" applyAlignment="1" applyProtection="1">
      <alignment vertical="center"/>
    </xf>
    <xf numFmtId="0" fontId="14" fillId="4" borderId="44" xfId="0" applyFont="1" applyFill="1" applyBorder="1" applyAlignment="1" applyProtection="1">
      <alignment horizontal="center" vertical="center"/>
      <protection locked="0"/>
    </xf>
    <xf numFmtId="166" fontId="76" fillId="0" borderId="0" xfId="0" quotePrefix="1" applyNumberFormat="1" applyFont="1" applyFill="1" applyBorder="1" applyAlignment="1" applyProtection="1">
      <alignment horizontal="left" vertical="center"/>
    </xf>
    <xf numFmtId="166" fontId="76" fillId="0" borderId="37" xfId="0" quotePrefix="1" applyNumberFormat="1" applyFont="1" applyFill="1" applyBorder="1" applyAlignment="1" applyProtection="1">
      <alignment horizontal="left" vertical="center"/>
    </xf>
    <xf numFmtId="0" fontId="13" fillId="0" borderId="37" xfId="0" quotePrefix="1" applyFont="1" applyBorder="1" applyAlignment="1" applyProtection="1"/>
    <xf numFmtId="0" fontId="14" fillId="0" borderId="37" xfId="0" applyFont="1" applyBorder="1" applyAlignment="1" applyProtection="1">
      <alignment vertical="center"/>
    </xf>
    <xf numFmtId="0" fontId="14" fillId="4" borderId="80" xfId="0" applyFont="1" applyFill="1" applyBorder="1" applyAlignment="1" applyProtection="1">
      <alignment horizontal="center" vertical="center"/>
      <protection locked="0"/>
    </xf>
    <xf numFmtId="0" fontId="53" fillId="18" borderId="52" xfId="0" applyFont="1" applyFill="1" applyBorder="1" applyAlignment="1" applyProtection="1">
      <alignment horizontal="left" vertical="center"/>
    </xf>
    <xf numFmtId="0" fontId="53" fillId="18" borderId="31" xfId="0" applyFont="1" applyFill="1" applyBorder="1" applyAlignment="1" applyProtection="1">
      <alignment horizontal="left" vertical="center"/>
    </xf>
    <xf numFmtId="0" fontId="53" fillId="18" borderId="31" xfId="0" applyFont="1" applyFill="1" applyBorder="1" applyAlignment="1" applyProtection="1">
      <alignment vertical="center"/>
    </xf>
    <xf numFmtId="0" fontId="75" fillId="18" borderId="31" xfId="0" applyFont="1" applyFill="1" applyBorder="1" applyAlignment="1" applyProtection="1">
      <alignment horizontal="right" vertical="center"/>
    </xf>
    <xf numFmtId="0" fontId="10" fillId="19" borderId="31" xfId="0" applyFont="1" applyFill="1" applyBorder="1" applyAlignment="1" applyProtection="1">
      <alignment vertical="center"/>
    </xf>
    <xf numFmtId="0" fontId="56" fillId="19" borderId="31" xfId="0" applyFont="1" applyFill="1" applyBorder="1" applyAlignment="1" applyProtection="1">
      <alignment vertical="center"/>
    </xf>
    <xf numFmtId="0" fontId="10" fillId="0" borderId="5" xfId="0" applyFont="1" applyBorder="1" applyProtection="1">
      <protection hidden="1"/>
    </xf>
    <xf numFmtId="0" fontId="53" fillId="0" borderId="0" xfId="0" applyFont="1" applyFill="1" applyBorder="1" applyAlignment="1" applyProtection="1">
      <alignment vertical="center"/>
    </xf>
    <xf numFmtId="0" fontId="10" fillId="0" borderId="9" xfId="0" applyFont="1" applyFill="1" applyBorder="1" applyAlignment="1" applyProtection="1">
      <alignment vertical="center"/>
      <protection hidden="1"/>
    </xf>
    <xf numFmtId="0" fontId="10" fillId="5" borderId="36" xfId="0" applyFont="1" applyFill="1" applyBorder="1" applyAlignment="1" applyProtection="1">
      <alignment vertical="center"/>
      <protection hidden="1"/>
    </xf>
    <xf numFmtId="0" fontId="10" fillId="0" borderId="28" xfId="0" applyFont="1" applyBorder="1" applyAlignment="1" applyProtection="1">
      <alignment vertical="center"/>
      <protection hidden="1"/>
    </xf>
    <xf numFmtId="0" fontId="56" fillId="0" borderId="0" xfId="0" applyFont="1" applyBorder="1" applyAlignment="1" applyProtection="1">
      <alignment vertical="center"/>
      <protection locked="0"/>
    </xf>
    <xf numFmtId="0" fontId="57" fillId="0" borderId="0" xfId="0" applyFont="1" applyBorder="1" applyAlignment="1" applyProtection="1">
      <alignment vertical="center"/>
      <protection hidden="1"/>
    </xf>
    <xf numFmtId="0" fontId="79" fillId="0" borderId="31" xfId="0" applyFont="1" applyBorder="1" applyAlignment="1" applyProtection="1">
      <alignment vertical="center"/>
    </xf>
    <xf numFmtId="0" fontId="80" fillId="0" borderId="0" xfId="0" quotePrefix="1" applyFont="1" applyBorder="1" applyAlignment="1" applyProtection="1"/>
    <xf numFmtId="166" fontId="80" fillId="0" borderId="0" xfId="0" applyNumberFormat="1" applyFont="1" applyFill="1" applyBorder="1" applyAlignment="1" applyProtection="1">
      <alignment horizontal="left" vertical="center"/>
    </xf>
    <xf numFmtId="0" fontId="59" fillId="0" borderId="0" xfId="0" applyFont="1" applyBorder="1" applyAlignment="1" applyProtection="1"/>
    <xf numFmtId="0" fontId="79" fillId="0" borderId="0" xfId="0" applyFont="1" applyBorder="1" applyAlignment="1" applyProtection="1"/>
    <xf numFmtId="0" fontId="10" fillId="22" borderId="0" xfId="0" applyFont="1" applyFill="1" applyBorder="1" applyProtection="1"/>
    <xf numFmtId="0" fontId="10" fillId="22" borderId="4" xfId="0" applyFont="1" applyFill="1" applyBorder="1" applyProtection="1"/>
    <xf numFmtId="0" fontId="10" fillId="0" borderId="0" xfId="0" applyFont="1" applyFill="1" applyBorder="1" applyAlignment="1" applyProtection="1">
      <alignment horizontal="left" vertical="top" wrapText="1"/>
      <protection locked="0"/>
    </xf>
    <xf numFmtId="0" fontId="14" fillId="0" borderId="0" xfId="0" applyFont="1" applyFill="1" applyBorder="1" applyAlignment="1" applyProtection="1">
      <alignment horizontal="center" vertical="center"/>
    </xf>
    <xf numFmtId="0" fontId="10" fillId="0" borderId="0" xfId="0" applyFont="1" applyFill="1" applyBorder="1" applyAlignment="1" applyProtection="1">
      <alignment vertical="center"/>
      <protection hidden="1"/>
    </xf>
    <xf numFmtId="0" fontId="10" fillId="19" borderId="14" xfId="0" applyFont="1" applyFill="1" applyBorder="1" applyAlignment="1" applyProtection="1">
      <alignment horizontal="left" vertical="top" wrapText="1"/>
    </xf>
    <xf numFmtId="0" fontId="10" fillId="19" borderId="12" xfId="0" applyFont="1" applyFill="1" applyBorder="1" applyAlignment="1" applyProtection="1">
      <alignment horizontal="left" vertical="top" wrapText="1"/>
    </xf>
    <xf numFmtId="0" fontId="10" fillId="0" borderId="0" xfId="0" applyFont="1" applyFill="1" applyBorder="1" applyProtection="1"/>
    <xf numFmtId="0" fontId="53" fillId="18" borderId="3" xfId="0" applyFont="1" applyFill="1" applyBorder="1" applyAlignment="1" applyProtection="1">
      <alignment vertical="center"/>
    </xf>
    <xf numFmtId="0" fontId="10" fillId="6" borderId="15" xfId="0" applyFont="1" applyFill="1" applyBorder="1" applyAlignment="1" applyProtection="1">
      <alignment horizontal="left" vertical="top" wrapText="1"/>
    </xf>
    <xf numFmtId="0" fontId="10" fillId="19" borderId="15" xfId="0" applyFont="1" applyFill="1" applyBorder="1" applyAlignment="1" applyProtection="1">
      <alignment horizontal="left" vertical="top" wrapText="1"/>
    </xf>
    <xf numFmtId="0" fontId="10" fillId="25" borderId="22" xfId="0" applyFont="1" applyFill="1" applyBorder="1" applyAlignment="1" applyProtection="1">
      <alignment horizontal="left" vertical="center"/>
    </xf>
    <xf numFmtId="0" fontId="10" fillId="25" borderId="25" xfId="0" applyFont="1" applyFill="1" applyBorder="1" applyAlignment="1" applyProtection="1">
      <alignment horizontal="left" vertical="center"/>
    </xf>
    <xf numFmtId="0" fontId="10" fillId="25" borderId="42" xfId="0" applyFont="1" applyFill="1" applyBorder="1" applyAlignment="1" applyProtection="1">
      <alignment horizontal="left" vertical="center"/>
    </xf>
    <xf numFmtId="164" fontId="10" fillId="0" borderId="0" xfId="0" applyNumberFormat="1" applyFont="1" applyFill="1" applyBorder="1" applyAlignment="1" applyProtection="1">
      <alignment horizontal="left" vertical="center" wrapText="1"/>
    </xf>
    <xf numFmtId="0" fontId="10" fillId="0" borderId="56" xfId="0" applyFont="1" applyFill="1" applyBorder="1" applyAlignment="1" applyProtection="1">
      <alignment horizontal="left" vertical="top" wrapText="1"/>
    </xf>
    <xf numFmtId="0" fontId="10" fillId="24" borderId="23" xfId="0" applyFont="1" applyFill="1" applyBorder="1" applyAlignment="1" applyProtection="1">
      <alignment horizontal="left" vertical="center"/>
    </xf>
    <xf numFmtId="0" fontId="10" fillId="9" borderId="23" xfId="0" applyFont="1" applyFill="1" applyBorder="1" applyAlignment="1" applyProtection="1">
      <alignment horizontal="left" vertical="center"/>
    </xf>
    <xf numFmtId="0" fontId="10" fillId="26" borderId="24" xfId="0" applyFont="1" applyFill="1" applyBorder="1" applyAlignment="1" applyProtection="1">
      <alignment horizontal="left" vertical="center"/>
    </xf>
    <xf numFmtId="9" fontId="84" fillId="0" borderId="47" xfId="0" applyNumberFormat="1" applyFont="1" applyBorder="1" applyAlignment="1" applyProtection="1">
      <alignment horizontal="center" vertical="center"/>
    </xf>
    <xf numFmtId="0" fontId="10" fillId="19" borderId="46" xfId="0" applyFont="1" applyFill="1" applyBorder="1" applyAlignment="1" applyProtection="1">
      <alignment vertical="center"/>
    </xf>
    <xf numFmtId="0" fontId="56" fillId="19" borderId="46" xfId="0" applyFont="1" applyFill="1" applyBorder="1" applyAlignment="1" applyProtection="1">
      <alignment vertical="center"/>
    </xf>
    <xf numFmtId="9" fontId="14" fillId="19" borderId="18" xfId="0" applyNumberFormat="1" applyFont="1" applyFill="1" applyBorder="1" applyAlignment="1" applyProtection="1">
      <alignment horizontal="center" vertical="center"/>
    </xf>
    <xf numFmtId="0" fontId="57" fillId="0" borderId="9" xfId="0" applyFont="1" applyBorder="1" applyAlignment="1" applyProtection="1">
      <alignment vertical="center"/>
      <protection hidden="1"/>
    </xf>
    <xf numFmtId="0" fontId="10" fillId="0" borderId="5" xfId="0" applyFont="1" applyBorder="1" applyAlignment="1" applyProtection="1">
      <alignment vertical="center"/>
      <protection hidden="1"/>
    </xf>
    <xf numFmtId="0" fontId="10" fillId="0" borderId="0" xfId="0" applyFont="1" applyBorder="1" applyAlignment="1" applyProtection="1">
      <alignment vertical="center"/>
      <protection locked="0"/>
    </xf>
    <xf numFmtId="0" fontId="14" fillId="0" borderId="0" xfId="0" applyFont="1" applyBorder="1" applyAlignment="1" applyProtection="1">
      <alignment horizontal="center" vertical="center"/>
      <protection locked="0"/>
    </xf>
    <xf numFmtId="0" fontId="57" fillId="0" borderId="0" xfId="0" applyFont="1" applyFill="1" applyBorder="1" applyAlignment="1" applyProtection="1">
      <alignment horizontal="left" vertical="center"/>
      <protection locked="0"/>
    </xf>
    <xf numFmtId="0" fontId="10" fillId="5" borderId="9" xfId="0" applyFont="1" applyFill="1" applyBorder="1" applyAlignment="1" applyProtection="1">
      <alignment vertical="center"/>
      <protection hidden="1"/>
    </xf>
    <xf numFmtId="0" fontId="10" fillId="0" borderId="0" xfId="0" applyFont="1" applyBorder="1" applyAlignment="1" applyProtection="1">
      <alignment vertical="center"/>
    </xf>
    <xf numFmtId="0" fontId="57" fillId="0" borderId="0" xfId="0" applyFont="1" applyFill="1" applyBorder="1" applyAlignment="1" applyProtection="1">
      <alignment horizontal="left" vertical="center"/>
    </xf>
    <xf numFmtId="0" fontId="56" fillId="0" borderId="4" xfId="0" applyFont="1" applyBorder="1" applyAlignment="1" applyProtection="1">
      <alignment horizontal="center" vertical="center"/>
    </xf>
    <xf numFmtId="0" fontId="10" fillId="0" borderId="0" xfId="0" applyFont="1" applyBorder="1" applyAlignment="1" applyProtection="1">
      <alignment vertical="center"/>
      <protection hidden="1"/>
    </xf>
    <xf numFmtId="0" fontId="14" fillId="0" borderId="0" xfId="0" applyFont="1" applyFill="1" applyBorder="1" applyAlignment="1" applyProtection="1">
      <alignment vertical="center"/>
    </xf>
    <xf numFmtId="0" fontId="14" fillId="0" borderId="0" xfId="0" applyFont="1" applyFill="1" applyBorder="1" applyAlignment="1" applyProtection="1">
      <alignment vertical="center" wrapText="1"/>
    </xf>
    <xf numFmtId="1" fontId="10" fillId="19" borderId="5" xfId="0" applyNumberFormat="1" applyFont="1" applyFill="1" applyBorder="1" applyAlignment="1">
      <alignment horizontal="left" vertical="top" wrapText="1"/>
    </xf>
    <xf numFmtId="0" fontId="10" fillId="5" borderId="0" xfId="0" applyFont="1" applyFill="1" applyBorder="1" applyAlignment="1" applyProtection="1">
      <alignment vertical="center"/>
      <protection hidden="1"/>
    </xf>
    <xf numFmtId="0" fontId="56" fillId="0" borderId="0" xfId="0" applyFont="1" applyBorder="1" applyAlignment="1" applyProtection="1">
      <alignment horizontal="center" vertical="center"/>
    </xf>
    <xf numFmtId="0" fontId="75" fillId="21" borderId="0" xfId="0" applyFont="1" applyFill="1" applyBorder="1" applyAlignment="1" applyProtection="1">
      <alignment horizontal="right" vertical="center"/>
    </xf>
    <xf numFmtId="0" fontId="53" fillId="21" borderId="37" xfId="0" applyFont="1" applyFill="1" applyBorder="1" applyAlignment="1" applyProtection="1">
      <alignment horizontal="left" vertical="center"/>
    </xf>
    <xf numFmtId="0" fontId="75" fillId="21" borderId="37" xfId="0" applyFont="1" applyFill="1" applyBorder="1" applyAlignment="1" applyProtection="1">
      <alignment horizontal="right" vertical="center"/>
    </xf>
    <xf numFmtId="0" fontId="53" fillId="21" borderId="31" xfId="0" applyFont="1" applyFill="1" applyBorder="1" applyAlignment="1" applyProtection="1">
      <alignment horizontal="left" vertical="center"/>
    </xf>
    <xf numFmtId="0" fontId="75" fillId="21" borderId="31" xfId="0" applyFont="1" applyFill="1" applyBorder="1" applyAlignment="1" applyProtection="1">
      <alignment horizontal="right" vertical="center"/>
    </xf>
    <xf numFmtId="166" fontId="76" fillId="0" borderId="0" xfId="0" applyNumberFormat="1"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0" fillId="0" borderId="5" xfId="0" applyFont="1" applyFill="1" applyBorder="1" applyAlignment="1" applyProtection="1">
      <alignment vertical="center"/>
      <protection hidden="1"/>
    </xf>
    <xf numFmtId="166" fontId="76" fillId="0" borderId="31" xfId="0" quotePrefix="1" applyNumberFormat="1" applyFont="1" applyFill="1" applyBorder="1" applyAlignment="1" applyProtection="1">
      <alignment horizontal="left" vertical="center"/>
    </xf>
    <xf numFmtId="166" fontId="76" fillId="0" borderId="0" xfId="0" quotePrefix="1" applyNumberFormat="1" applyFont="1" applyFill="1" applyBorder="1" applyAlignment="1" applyProtection="1">
      <alignment horizontal="left" vertical="center"/>
    </xf>
    <xf numFmtId="166" fontId="76" fillId="0" borderId="37" xfId="0" quotePrefix="1" applyNumberFormat="1" applyFont="1" applyFill="1" applyBorder="1" applyAlignment="1" applyProtection="1">
      <alignment horizontal="left" vertical="center"/>
    </xf>
    <xf numFmtId="0" fontId="56" fillId="0" borderId="0" xfId="0" applyFont="1" applyBorder="1" applyAlignment="1" applyProtection="1">
      <alignment vertical="center"/>
      <protection locked="0"/>
    </xf>
    <xf numFmtId="0" fontId="57" fillId="0" borderId="0" xfId="0" applyFont="1" applyBorder="1" applyAlignment="1" applyProtection="1">
      <alignment vertical="center"/>
      <protection hidden="1"/>
    </xf>
    <xf numFmtId="0" fontId="10" fillId="0" borderId="29" xfId="0" applyFont="1" applyFill="1" applyBorder="1" applyAlignment="1" applyProtection="1">
      <alignment vertical="center"/>
      <protection hidden="1"/>
    </xf>
    <xf numFmtId="0" fontId="10" fillId="0" borderId="34" xfId="0" applyFont="1" applyBorder="1" applyAlignment="1" applyProtection="1">
      <alignment vertical="center"/>
      <protection hidden="1"/>
    </xf>
    <xf numFmtId="0" fontId="10" fillId="0" borderId="31" xfId="0" applyFont="1" applyBorder="1" applyAlignment="1" applyProtection="1">
      <alignment vertical="center"/>
      <protection locked="0"/>
    </xf>
    <xf numFmtId="0" fontId="56" fillId="0" borderId="0" xfId="0" quotePrefix="1" applyFont="1" applyBorder="1" applyAlignment="1"/>
    <xf numFmtId="0" fontId="17" fillId="20" borderId="37" xfId="0" applyFont="1" applyFill="1" applyBorder="1" applyAlignment="1" applyProtection="1">
      <alignment horizontal="center" vertical="center"/>
      <protection locked="0"/>
    </xf>
    <xf numFmtId="0" fontId="57" fillId="20" borderId="37" xfId="0" applyFont="1" applyFill="1" applyBorder="1" applyAlignment="1" applyProtection="1">
      <alignment horizontal="left" vertical="center"/>
      <protection locked="0"/>
    </xf>
    <xf numFmtId="0" fontId="81" fillId="0" borderId="9" xfId="0" applyFont="1" applyBorder="1" applyAlignment="1" applyProtection="1">
      <alignment vertical="center"/>
      <protection hidden="1"/>
    </xf>
    <xf numFmtId="0" fontId="53" fillId="21" borderId="31" xfId="0" applyFont="1" applyFill="1" applyBorder="1" applyAlignment="1" applyProtection="1">
      <alignment vertical="center"/>
    </xf>
    <xf numFmtId="0" fontId="74" fillId="21" borderId="31" xfId="0" applyFont="1" applyFill="1" applyBorder="1" applyAlignment="1" applyProtection="1">
      <alignment horizontal="right" vertical="center"/>
    </xf>
    <xf numFmtId="0" fontId="53" fillId="21" borderId="37" xfId="0" applyFont="1" applyFill="1" applyBorder="1" applyAlignment="1" applyProtection="1">
      <alignment vertical="center"/>
    </xf>
    <xf numFmtId="166" fontId="14" fillId="0" borderId="31" xfId="0" quotePrefix="1" applyNumberFormat="1" applyFont="1" applyFill="1" applyBorder="1" applyAlignment="1" applyProtection="1">
      <alignment horizontal="left" vertical="center"/>
    </xf>
    <xf numFmtId="166" fontId="14" fillId="0" borderId="0" xfId="0" applyNumberFormat="1" applyFont="1" applyFill="1" applyBorder="1" applyAlignment="1" applyProtection="1">
      <alignment horizontal="left" vertical="center"/>
    </xf>
    <xf numFmtId="166" fontId="14" fillId="0" borderId="0" xfId="0" quotePrefix="1" applyNumberFormat="1" applyFont="1" applyFill="1" applyBorder="1" applyAlignment="1" applyProtection="1">
      <alignment horizontal="left" vertical="center"/>
    </xf>
    <xf numFmtId="166" fontId="24" fillId="20" borderId="0" xfId="0" quotePrefix="1" applyNumberFormat="1" applyFont="1" applyFill="1" applyBorder="1" applyAlignment="1" applyProtection="1">
      <alignment horizontal="left" vertical="center"/>
    </xf>
    <xf numFmtId="166" fontId="14" fillId="0" borderId="0" xfId="0" quotePrefix="1" applyNumberFormat="1" applyFont="1" applyFill="1" applyBorder="1" applyAlignment="1" applyProtection="1">
      <alignment vertical="center"/>
    </xf>
    <xf numFmtId="166" fontId="10" fillId="0" borderId="0" xfId="0" quotePrefix="1" applyNumberFormat="1" applyFont="1" applyFill="1" applyBorder="1" applyAlignment="1" applyProtection="1">
      <alignment vertical="center"/>
    </xf>
    <xf numFmtId="0" fontId="10" fillId="0" borderId="0" xfId="0" applyFont="1" applyFill="1" applyBorder="1" applyAlignment="1" applyProtection="1">
      <alignment vertical="center"/>
      <protection locked="0"/>
    </xf>
    <xf numFmtId="0" fontId="57" fillId="0" borderId="37" xfId="0" applyFont="1" applyFill="1" applyBorder="1" applyAlignment="1" applyProtection="1">
      <alignment horizontal="left" vertical="center"/>
    </xf>
    <xf numFmtId="166" fontId="10" fillId="0" borderId="37" xfId="0" applyNumberFormat="1" applyFont="1" applyFill="1" applyBorder="1" applyAlignment="1" applyProtection="1">
      <alignment vertical="center"/>
    </xf>
    <xf numFmtId="0" fontId="53" fillId="21" borderId="0" xfId="0" applyFont="1" applyFill="1" applyBorder="1" applyAlignment="1" applyProtection="1">
      <alignment vertical="center"/>
    </xf>
    <xf numFmtId="166" fontId="76" fillId="0" borderId="31" xfId="0" applyNumberFormat="1" applyFont="1" applyFill="1" applyBorder="1" applyAlignment="1" applyProtection="1">
      <alignment horizontal="left" vertical="center"/>
    </xf>
    <xf numFmtId="0" fontId="58" fillId="0" borderId="0" xfId="0" quotePrefix="1" applyFont="1" applyBorder="1" applyAlignment="1">
      <alignment vertical="top" wrapText="1"/>
    </xf>
    <xf numFmtId="166" fontId="57" fillId="0" borderId="0" xfId="0" applyNumberFormat="1" applyFont="1" applyFill="1" applyBorder="1" applyAlignment="1" applyProtection="1">
      <alignment horizontal="left" vertical="center"/>
    </xf>
    <xf numFmtId="166" fontId="10" fillId="0" borderId="0" xfId="0" applyNumberFormat="1" applyFont="1" applyFill="1" applyBorder="1" applyAlignment="1" applyProtection="1">
      <alignment horizontal="left" vertical="center"/>
    </xf>
    <xf numFmtId="166" fontId="57" fillId="0" borderId="37" xfId="0" applyNumberFormat="1" applyFont="1" applyFill="1" applyBorder="1" applyAlignment="1" applyProtection="1">
      <alignment horizontal="left" vertical="center"/>
    </xf>
    <xf numFmtId="2" fontId="10" fillId="0" borderId="0" xfId="0" applyNumberFormat="1" applyFont="1" applyFill="1" applyBorder="1" applyAlignment="1" applyProtection="1">
      <alignment horizontal="left" vertical="center"/>
    </xf>
    <xf numFmtId="166" fontId="59" fillId="0" borderId="31" xfId="0" quotePrefix="1" applyNumberFormat="1" applyFont="1" applyFill="1" applyBorder="1" applyAlignment="1" applyProtection="1">
      <alignment vertical="center"/>
    </xf>
    <xf numFmtId="166" fontId="10" fillId="0" borderId="0" xfId="0" quotePrefix="1" applyNumberFormat="1" applyFont="1" applyFill="1" applyBorder="1" applyAlignment="1" applyProtection="1">
      <alignment horizontal="left" vertical="center"/>
    </xf>
    <xf numFmtId="9" fontId="10" fillId="0" borderId="0" xfId="0" applyNumberFormat="1" applyFont="1" applyFill="1" applyBorder="1" applyAlignment="1" applyProtection="1">
      <alignment horizontal="left" vertical="center"/>
    </xf>
    <xf numFmtId="0" fontId="14" fillId="5" borderId="9" xfId="0" applyFont="1" applyFill="1" applyBorder="1" applyAlignment="1" applyProtection="1">
      <alignment vertical="center"/>
      <protection hidden="1"/>
    </xf>
    <xf numFmtId="0" fontId="14" fillId="0" borderId="0" xfId="0" applyFont="1"/>
    <xf numFmtId="9" fontId="10" fillId="0" borderId="0" xfId="0" quotePrefix="1" applyNumberFormat="1" applyFont="1" applyFill="1" applyBorder="1" applyAlignment="1" applyProtection="1">
      <alignment horizontal="left" vertical="center"/>
    </xf>
    <xf numFmtId="166" fontId="14" fillId="0" borderId="31" xfId="0" quotePrefix="1" applyNumberFormat="1" applyFont="1" applyFill="1" applyBorder="1" applyAlignment="1" applyProtection="1">
      <alignment vertical="center"/>
    </xf>
    <xf numFmtId="166" fontId="10" fillId="0" borderId="31" xfId="0" quotePrefix="1" applyNumberFormat="1" applyFont="1" applyFill="1" applyBorder="1" applyAlignment="1" applyProtection="1">
      <alignment vertical="center"/>
    </xf>
    <xf numFmtId="0" fontId="10" fillId="5" borderId="9" xfId="0" applyFont="1" applyFill="1" applyBorder="1" applyAlignment="1" applyProtection="1">
      <alignment horizontal="left" vertical="center"/>
      <protection hidden="1"/>
    </xf>
    <xf numFmtId="166" fontId="10" fillId="0" borderId="31" xfId="0" applyNumberFormat="1" applyFont="1" applyFill="1" applyBorder="1" applyAlignment="1" applyProtection="1">
      <alignment vertical="center"/>
    </xf>
    <xf numFmtId="166" fontId="10" fillId="0" borderId="37" xfId="0" quotePrefix="1" applyNumberFormat="1" applyFont="1" applyFill="1" applyBorder="1" applyAlignment="1" applyProtection="1">
      <alignment vertical="center"/>
    </xf>
    <xf numFmtId="0" fontId="10" fillId="0" borderId="9" xfId="0" applyFont="1" applyBorder="1" applyAlignment="1" applyProtection="1">
      <alignment vertical="center"/>
      <protection hidden="1"/>
    </xf>
    <xf numFmtId="0" fontId="10" fillId="0" borderId="9" xfId="0" applyFont="1" applyFill="1" applyBorder="1" applyAlignment="1" applyProtection="1">
      <alignment horizontal="left" vertical="center"/>
      <protection hidden="1"/>
    </xf>
    <xf numFmtId="166" fontId="10" fillId="0" borderId="37" xfId="0" applyNumberFormat="1" applyFont="1" applyFill="1" applyBorder="1" applyAlignment="1" applyProtection="1">
      <alignment horizontal="left" vertical="center"/>
    </xf>
    <xf numFmtId="0" fontId="53" fillId="33" borderId="81" xfId="0" applyFont="1" applyFill="1" applyBorder="1" applyAlignment="1" applyProtection="1">
      <alignment horizontal="left" vertical="top"/>
    </xf>
    <xf numFmtId="0" fontId="53" fillId="33" borderId="0" xfId="0" applyFont="1" applyFill="1" applyBorder="1" applyAlignment="1" applyProtection="1">
      <alignment vertical="center"/>
    </xf>
    <xf numFmtId="0" fontId="74" fillId="18" borderId="0" xfId="0" applyFont="1" applyFill="1" applyBorder="1" applyAlignment="1" applyProtection="1">
      <alignment horizontal="right" vertical="center"/>
      <protection locked="0"/>
    </xf>
    <xf numFmtId="0" fontId="10" fillId="0" borderId="82" xfId="0" applyFont="1" applyBorder="1" applyAlignment="1" applyProtection="1">
      <alignment vertical="center"/>
    </xf>
    <xf numFmtId="0" fontId="10" fillId="0" borderId="31" xfId="0" applyFont="1" applyBorder="1" applyAlignment="1" applyProtection="1">
      <alignment vertical="center"/>
    </xf>
    <xf numFmtId="0" fontId="0" fillId="0" borderId="31" xfId="0" applyBorder="1" applyAlignment="1"/>
    <xf numFmtId="0" fontId="82" fillId="0" borderId="9" xfId="0" applyFont="1" applyFill="1" applyBorder="1" applyAlignment="1" applyProtection="1">
      <alignment vertical="center"/>
      <protection hidden="1"/>
    </xf>
    <xf numFmtId="0" fontId="10" fillId="0" borderId="83" xfId="0" applyFont="1" applyBorder="1" applyAlignment="1" applyProtection="1">
      <alignment vertical="center"/>
    </xf>
    <xf numFmtId="0" fontId="0" fillId="0" borderId="0" xfId="0" applyBorder="1" applyAlignment="1"/>
    <xf numFmtId="0" fontId="82" fillId="0" borderId="29" xfId="0" applyFont="1" applyFill="1" applyBorder="1" applyAlignment="1" applyProtection="1">
      <alignment vertical="center"/>
      <protection hidden="1"/>
    </xf>
    <xf numFmtId="0" fontId="10" fillId="19" borderId="83" xfId="0" applyFont="1" applyFill="1" applyBorder="1" applyAlignment="1" applyProtection="1">
      <alignment horizontal="left" vertical="center"/>
      <protection hidden="1"/>
    </xf>
    <xf numFmtId="0" fontId="10" fillId="0" borderId="0" xfId="0" applyFont="1" applyBorder="1" applyAlignment="1" applyProtection="1">
      <alignment horizontal="left" vertical="center"/>
      <protection hidden="1"/>
    </xf>
    <xf numFmtId="0" fontId="14" fillId="0" borderId="0" xfId="0" applyFont="1" applyBorder="1" applyAlignment="1" applyProtection="1">
      <alignment horizontal="left" vertical="center"/>
      <protection hidden="1"/>
    </xf>
    <xf numFmtId="0" fontId="10" fillId="0" borderId="29" xfId="0" applyFont="1" applyBorder="1" applyAlignment="1" applyProtection="1">
      <alignment horizontal="left" vertical="center"/>
      <protection hidden="1"/>
    </xf>
    <xf numFmtId="0" fontId="10" fillId="0" borderId="5" xfId="0" applyFont="1" applyBorder="1" applyAlignment="1" applyProtection="1">
      <alignment horizontal="left" vertical="center"/>
      <protection hidden="1"/>
    </xf>
    <xf numFmtId="0" fontId="10" fillId="0" borderId="83" xfId="0" applyFont="1" applyFill="1" applyBorder="1" applyAlignment="1" applyProtection="1">
      <alignment horizontal="left" vertical="center"/>
    </xf>
    <xf numFmtId="0" fontId="10"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0" fontId="10" fillId="0" borderId="29" xfId="0" applyFont="1" applyBorder="1" applyAlignment="1" applyProtection="1">
      <alignment horizontal="left" vertical="center"/>
    </xf>
    <xf numFmtId="0" fontId="10" fillId="0" borderId="5" xfId="0" applyFont="1" applyBorder="1" applyAlignment="1" applyProtection="1">
      <alignment horizontal="left" vertical="center"/>
    </xf>
    <xf numFmtId="0" fontId="10" fillId="0" borderId="5" xfId="0" applyFont="1" applyBorder="1" applyAlignment="1" applyProtection="1">
      <alignment vertical="center"/>
    </xf>
    <xf numFmtId="0" fontId="10" fillId="0" borderId="83" xfId="0" applyFont="1" applyFill="1" applyBorder="1" applyAlignment="1" applyProtection="1">
      <alignment horizontal="left" vertical="center"/>
      <protection hidden="1"/>
    </xf>
    <xf numFmtId="0" fontId="14" fillId="0" borderId="7" xfId="0" applyFont="1" applyBorder="1" applyAlignment="1" applyProtection="1">
      <alignment horizontal="center" vertical="center"/>
      <protection locked="0"/>
    </xf>
    <xf numFmtId="0" fontId="57" fillId="0" borderId="7" xfId="0" applyFont="1" applyFill="1" applyBorder="1" applyAlignment="1" applyProtection="1">
      <alignment horizontal="left" vertical="center"/>
      <protection locked="0"/>
    </xf>
    <xf numFmtId="0" fontId="7" fillId="10" borderId="79" xfId="0" applyFont="1" applyFill="1" applyBorder="1" applyAlignment="1">
      <alignment horizontal="center" shrinkToFit="1"/>
    </xf>
    <xf numFmtId="0" fontId="73" fillId="10" borderId="78" xfId="0" applyFont="1" applyFill="1" applyBorder="1" applyAlignment="1">
      <alignment horizontal="center" shrinkToFit="1"/>
    </xf>
    <xf numFmtId="0" fontId="86" fillId="0" borderId="26" xfId="0" applyFont="1" applyFill="1" applyBorder="1" applyAlignment="1" applyProtection="1">
      <alignment horizontal="left"/>
    </xf>
    <xf numFmtId="0" fontId="0" fillId="0" borderId="74" xfId="0" applyFill="1" applyBorder="1" applyAlignment="1">
      <alignment horizontal="centerContinuous"/>
    </xf>
    <xf numFmtId="9" fontId="88" fillId="0" borderId="7" xfId="0" applyNumberFormat="1" applyFont="1" applyFill="1" applyBorder="1" applyAlignment="1">
      <alignment horizontal="left" vertical="top"/>
    </xf>
    <xf numFmtId="9" fontId="88" fillId="0" borderId="0" xfId="0" applyNumberFormat="1" applyFont="1" applyFill="1" applyBorder="1" applyAlignment="1">
      <alignment horizontal="left" vertical="top"/>
    </xf>
    <xf numFmtId="166" fontId="56" fillId="0" borderId="30" xfId="0" applyNumberFormat="1" applyFont="1" applyBorder="1" applyAlignment="1" applyProtection="1">
      <alignment vertical="center"/>
      <protection locked="0"/>
    </xf>
    <xf numFmtId="166" fontId="56" fillId="0" borderId="4" xfId="0" applyNumberFormat="1" applyFont="1" applyBorder="1" applyAlignment="1" applyProtection="1">
      <alignment vertical="center"/>
      <protection locked="0"/>
    </xf>
    <xf numFmtId="166" fontId="0" fillId="0" borderId="0" xfId="0" applyNumberFormat="1" applyBorder="1" applyAlignment="1">
      <alignment horizontal="left" vertical="top" wrapText="1" indent="2"/>
    </xf>
    <xf numFmtId="166" fontId="0" fillId="0" borderId="4" xfId="0" applyNumberFormat="1" applyBorder="1" applyAlignment="1">
      <alignment horizontal="left" vertical="top" wrapText="1" indent="2"/>
    </xf>
    <xf numFmtId="166" fontId="0" fillId="0" borderId="0" xfId="0" applyNumberFormat="1"/>
    <xf numFmtId="166" fontId="0" fillId="0" borderId="0" xfId="0" applyNumberFormat="1" applyFill="1" applyBorder="1"/>
    <xf numFmtId="166" fontId="21" fillId="0" borderId="7" xfId="0" applyNumberFormat="1" applyFont="1" applyFill="1" applyBorder="1" applyAlignment="1">
      <alignment horizontal="center"/>
    </xf>
    <xf numFmtId="0" fontId="0" fillId="0" borderId="0" xfId="0" applyBorder="1"/>
    <xf numFmtId="0" fontId="16" fillId="12" borderId="6" xfId="0" applyFont="1" applyFill="1" applyBorder="1" applyAlignment="1" applyProtection="1">
      <alignment vertical="center"/>
    </xf>
    <xf numFmtId="0" fontId="16" fillId="3" borderId="7" xfId="0" applyFont="1" applyFill="1" applyBorder="1" applyAlignment="1" applyProtection="1">
      <alignment horizontal="left" vertical="center"/>
    </xf>
    <xf numFmtId="0" fontId="16" fillId="3" borderId="8" xfId="0" applyFont="1" applyFill="1" applyBorder="1" applyAlignment="1" applyProtection="1">
      <alignment horizontal="left" vertical="center"/>
    </xf>
    <xf numFmtId="0" fontId="16" fillId="0" borderId="85" xfId="0" applyFont="1" applyFill="1" applyBorder="1" applyAlignment="1" applyProtection="1">
      <alignment horizontal="right"/>
      <protection locked="0"/>
    </xf>
    <xf numFmtId="0" fontId="16" fillId="0" borderId="88" xfId="0" applyFont="1" applyFill="1" applyBorder="1" applyAlignment="1" applyProtection="1">
      <alignment horizontal="right" vertical="center"/>
      <protection locked="0"/>
    </xf>
    <xf numFmtId="0" fontId="16" fillId="0" borderId="91" xfId="0" applyFont="1" applyFill="1" applyBorder="1" applyAlignment="1" applyProtection="1">
      <alignment horizontal="right" vertical="center"/>
      <protection locked="0"/>
    </xf>
    <xf numFmtId="3" fontId="21" fillId="10" borderId="85" xfId="0" applyNumberFormat="1" applyFont="1" applyFill="1" applyBorder="1" applyAlignment="1" applyProtection="1">
      <alignment horizontal="right" vertical="center"/>
      <protection locked="0"/>
    </xf>
    <xf numFmtId="0" fontId="15" fillId="2" borderId="84" xfId="0" applyFont="1" applyFill="1" applyBorder="1" applyAlignment="1" applyProtection="1">
      <alignment horizontal="right"/>
    </xf>
    <xf numFmtId="0" fontId="15" fillId="2" borderId="87" xfId="0" applyFont="1" applyFill="1" applyBorder="1" applyAlignment="1" applyProtection="1">
      <alignment horizontal="right"/>
    </xf>
    <xf numFmtId="0" fontId="15" fillId="2" borderId="90" xfId="0" applyFont="1" applyFill="1" applyBorder="1" applyAlignment="1" applyProtection="1">
      <alignment horizontal="right"/>
    </xf>
    <xf numFmtId="166" fontId="11" fillId="14" borderId="88" xfId="0" applyNumberFormat="1" applyFont="1" applyFill="1" applyBorder="1" applyAlignment="1" applyProtection="1">
      <alignment horizontal="right" vertical="center" shrinkToFit="1"/>
      <protection locked="0"/>
    </xf>
    <xf numFmtId="0" fontId="5" fillId="0" borderId="85" xfId="0" applyFont="1" applyFill="1" applyBorder="1" applyAlignment="1" applyProtection="1">
      <alignment horizontal="right" vertical="center"/>
      <protection locked="0"/>
    </xf>
    <xf numFmtId="0" fontId="5" fillId="0" borderId="88" xfId="0" applyFont="1" applyFill="1" applyBorder="1" applyAlignment="1" applyProtection="1">
      <alignment horizontal="right" vertical="center"/>
      <protection locked="0"/>
    </xf>
    <xf numFmtId="0" fontId="28" fillId="0" borderId="0" xfId="0" applyFont="1" applyFill="1" applyBorder="1" applyAlignment="1">
      <alignment horizontal="center"/>
    </xf>
    <xf numFmtId="3" fontId="0" fillId="10" borderId="34" xfId="0" applyNumberFormat="1" applyFill="1" applyBorder="1"/>
    <xf numFmtId="0" fontId="10" fillId="0" borderId="0" xfId="0" applyFont="1" applyFill="1" applyBorder="1" applyAlignment="1" applyProtection="1">
      <alignment vertical="center"/>
    </xf>
    <xf numFmtId="0" fontId="10" fillId="0" borderId="0" xfId="0" applyFont="1" applyFill="1" applyBorder="1" applyAlignment="1" applyProtection="1">
      <alignment vertical="center"/>
      <protection hidden="1"/>
    </xf>
    <xf numFmtId="0" fontId="10" fillId="0" borderId="0" xfId="0" applyFont="1" applyFill="1" applyBorder="1" applyAlignment="1" applyProtection="1">
      <alignment horizontal="left" vertical="center"/>
      <protection hidden="1"/>
    </xf>
    <xf numFmtId="3" fontId="0" fillId="10" borderId="28" xfId="0" applyNumberFormat="1" applyFill="1" applyBorder="1"/>
    <xf numFmtId="166" fontId="26" fillId="0" borderId="0" xfId="0" quotePrefix="1" applyNumberFormat="1" applyFont="1" applyFill="1" applyBorder="1" applyAlignment="1">
      <alignment horizontal="center"/>
    </xf>
    <xf numFmtId="166" fontId="29" fillId="0" borderId="0" xfId="0" applyNumberFormat="1" applyFont="1" applyFill="1" applyBorder="1"/>
    <xf numFmtId="0" fontId="12" fillId="0" borderId="0" xfId="0" applyFont="1" applyFill="1" applyBorder="1" applyAlignment="1" applyProtection="1"/>
    <xf numFmtId="0" fontId="21" fillId="0" borderId="0" xfId="0" applyFont="1" applyFill="1" applyBorder="1"/>
    <xf numFmtId="0" fontId="29" fillId="0" borderId="0" xfId="0" applyFont="1" applyFill="1" applyBorder="1" applyAlignment="1">
      <alignment horizontal="right" indent="1"/>
    </xf>
    <xf numFmtId="0" fontId="30" fillId="0" borderId="0" xfId="0" applyFont="1" applyFill="1" applyBorder="1" applyAlignment="1">
      <alignment horizontal="right" indent="1"/>
    </xf>
    <xf numFmtId="0" fontId="29" fillId="0" borderId="0" xfId="0" applyFont="1" applyFill="1" applyBorder="1" applyAlignment="1">
      <alignment horizontal="left" indent="1"/>
    </xf>
    <xf numFmtId="164" fontId="21" fillId="7" borderId="0" xfId="0" quotePrefix="1" applyNumberFormat="1" applyFont="1" applyFill="1" applyBorder="1" applyAlignment="1">
      <alignment horizontal="center"/>
    </xf>
    <xf numFmtId="164" fontId="29" fillId="7" borderId="0" xfId="0" applyNumberFormat="1" applyFont="1" applyFill="1" applyBorder="1"/>
    <xf numFmtId="164" fontId="21" fillId="0" borderId="0" xfId="0" quotePrefix="1" applyNumberFormat="1" applyFont="1" applyFill="1" applyBorder="1" applyAlignment="1">
      <alignment horizontal="center"/>
    </xf>
    <xf numFmtId="164" fontId="29" fillId="0" borderId="0" xfId="0" applyNumberFormat="1" applyFont="1" applyFill="1" applyBorder="1"/>
    <xf numFmtId="166" fontId="21" fillId="0" borderId="0" xfId="0" applyNumberFormat="1" applyFont="1" applyFill="1" applyBorder="1" applyAlignment="1">
      <alignment shrinkToFit="1"/>
    </xf>
    <xf numFmtId="0" fontId="10" fillId="8" borderId="0" xfId="0" applyFont="1" applyFill="1" applyBorder="1" applyAlignment="1" applyProtection="1">
      <alignment horizontal="left" shrinkToFit="1"/>
      <protection locked="0"/>
    </xf>
    <xf numFmtId="0" fontId="29" fillId="0" borderId="33" xfId="0" applyFont="1" applyFill="1" applyBorder="1" applyAlignment="1">
      <alignment horizontal="left" indent="1"/>
    </xf>
    <xf numFmtId="0" fontId="29" fillId="0" borderId="29" xfId="0" applyFont="1" applyFill="1" applyBorder="1" applyAlignment="1">
      <alignment horizontal="left" indent="1"/>
    </xf>
    <xf numFmtId="0" fontId="21" fillId="0" borderId="31" xfId="0" applyFont="1" applyFill="1" applyBorder="1"/>
    <xf numFmtId="166" fontId="0" fillId="0" borderId="31" xfId="0" applyNumberFormat="1" applyBorder="1"/>
    <xf numFmtId="0" fontId="30" fillId="0" borderId="37" xfId="0" applyFont="1" applyFill="1" applyBorder="1" applyAlignment="1">
      <alignment horizontal="right" indent="1"/>
    </xf>
    <xf numFmtId="3" fontId="6" fillId="10" borderId="47" xfId="0" applyNumberFormat="1" applyFont="1" applyFill="1" applyBorder="1" applyAlignment="1">
      <alignment shrinkToFit="1"/>
    </xf>
    <xf numFmtId="3" fontId="0" fillId="10" borderId="17" xfId="0" applyNumberFormat="1" applyFill="1" applyBorder="1"/>
    <xf numFmtId="0" fontId="10" fillId="0" borderId="2" xfId="0" applyFont="1" applyFill="1" applyBorder="1" applyAlignment="1" applyProtection="1">
      <alignment horizontal="right" shrinkToFit="1"/>
      <protection locked="0"/>
    </xf>
    <xf numFmtId="0" fontId="0" fillId="0" borderId="0" xfId="0" applyAlignment="1" applyProtection="1">
      <alignment shrinkToFit="1"/>
      <protection locked="0"/>
    </xf>
    <xf numFmtId="0" fontId="10" fillId="0" borderId="0" xfId="0" applyFont="1" applyFill="1" applyBorder="1" applyAlignment="1" applyProtection="1">
      <alignment horizontal="right" vertical="center" shrinkToFit="1"/>
      <protection locked="0"/>
    </xf>
    <xf numFmtId="0" fontId="10" fillId="0" borderId="7" xfId="0" applyFont="1" applyFill="1" applyBorder="1" applyAlignment="1" applyProtection="1">
      <alignment horizontal="right" vertical="center" shrinkToFit="1"/>
      <protection locked="0"/>
    </xf>
    <xf numFmtId="0" fontId="11" fillId="0" borderId="0" xfId="0" applyFont="1" applyFill="1" applyBorder="1" applyAlignment="1" applyProtection="1">
      <alignment horizontal="right" vertical="center" shrinkToFit="1"/>
    </xf>
    <xf numFmtId="0" fontId="0" fillId="0" borderId="0" xfId="0" applyAlignment="1">
      <alignment shrinkToFit="1"/>
    </xf>
    <xf numFmtId="0" fontId="10" fillId="0" borderId="26" xfId="0" applyFont="1" applyFill="1" applyBorder="1" applyAlignment="1" applyProtection="1">
      <alignment horizontal="right" vertical="center"/>
    </xf>
    <xf numFmtId="0" fontId="10" fillId="0" borderId="3" xfId="0" applyFont="1" applyFill="1" applyBorder="1" applyAlignment="1" applyProtection="1">
      <alignment horizontal="right" vertical="center"/>
    </xf>
    <xf numFmtId="0" fontId="10" fillId="0" borderId="6" xfId="0" applyFont="1" applyFill="1" applyBorder="1" applyAlignment="1" applyProtection="1">
      <alignment horizontal="right" vertical="center"/>
    </xf>
    <xf numFmtId="166" fontId="10" fillId="4" borderId="0" xfId="0" applyNumberFormat="1" applyFont="1" applyFill="1" applyBorder="1" applyAlignment="1" applyProtection="1">
      <alignment horizontal="left" vertical="center" shrinkToFit="1"/>
      <protection locked="0"/>
    </xf>
    <xf numFmtId="0" fontId="10" fillId="4" borderId="7" xfId="0" applyFont="1" applyFill="1" applyBorder="1" applyAlignment="1" applyProtection="1">
      <alignment horizontal="left" vertical="center" shrinkToFit="1"/>
      <protection locked="0"/>
    </xf>
    <xf numFmtId="3" fontId="10" fillId="4" borderId="43" xfId="0" applyNumberFormat="1" applyFont="1" applyFill="1" applyBorder="1" applyAlignment="1" applyProtection="1">
      <alignment horizontal="right" shrinkToFit="1"/>
      <protection locked="0"/>
    </xf>
    <xf numFmtId="3" fontId="0" fillId="13" borderId="2" xfId="0" applyNumberFormat="1" applyFill="1" applyBorder="1"/>
    <xf numFmtId="3" fontId="0" fillId="13" borderId="50" xfId="0" applyNumberFormat="1" applyFill="1" applyBorder="1"/>
    <xf numFmtId="0" fontId="0" fillId="0" borderId="0" xfId="0" applyBorder="1" applyAlignment="1">
      <alignment textRotation="90" shrinkToFit="1"/>
    </xf>
    <xf numFmtId="0" fontId="29" fillId="0" borderId="7" xfId="0" applyFont="1" applyFill="1" applyBorder="1" applyAlignment="1">
      <alignment horizontal="right" indent="1"/>
    </xf>
    <xf numFmtId="164" fontId="21" fillId="0" borderId="7" xfId="0" quotePrefix="1" applyNumberFormat="1" applyFont="1" applyFill="1" applyBorder="1" applyAlignment="1">
      <alignment horizontal="center"/>
    </xf>
    <xf numFmtId="164" fontId="29" fillId="0" borderId="7" xfId="0" applyNumberFormat="1" applyFont="1" applyFill="1" applyBorder="1"/>
    <xf numFmtId="3" fontId="0" fillId="10" borderId="94" xfId="0" applyNumberFormat="1" applyFill="1" applyBorder="1"/>
    <xf numFmtId="0" fontId="14" fillId="4" borderId="2" xfId="0" applyFont="1" applyFill="1" applyBorder="1" applyAlignment="1" applyProtection="1">
      <alignment horizontal="left" shrinkToFit="1"/>
      <protection locked="0"/>
    </xf>
    <xf numFmtId="167" fontId="15" fillId="0" borderId="32" xfId="0" applyNumberFormat="1" applyFont="1" applyFill="1" applyBorder="1" applyAlignment="1" applyProtection="1">
      <alignment horizontal="right" vertical="center" shrinkToFit="1"/>
    </xf>
    <xf numFmtId="3" fontId="96" fillId="13" borderId="2" xfId="0" applyNumberFormat="1" applyFont="1" applyFill="1" applyBorder="1"/>
    <xf numFmtId="0" fontId="97" fillId="0" borderId="26" xfId="0" applyFont="1" applyBorder="1"/>
    <xf numFmtId="166" fontId="21" fillId="0" borderId="0" xfId="0" applyNumberFormat="1" applyFont="1" applyFill="1" applyBorder="1" applyAlignment="1">
      <alignment horizontal="center"/>
    </xf>
    <xf numFmtId="37" fontId="0" fillId="10" borderId="17" xfId="0" applyNumberFormat="1" applyFill="1" applyBorder="1"/>
    <xf numFmtId="0" fontId="0" fillId="0" borderId="2" xfId="0" applyBorder="1"/>
    <xf numFmtId="0" fontId="0" fillId="0" borderId="2" xfId="0" applyFill="1" applyBorder="1"/>
    <xf numFmtId="2" fontId="0" fillId="0" borderId="2" xfId="0" applyNumberFormat="1" applyFill="1" applyBorder="1"/>
    <xf numFmtId="0" fontId="27" fillId="0" borderId="0" xfId="0" applyFont="1" applyBorder="1"/>
    <xf numFmtId="0" fontId="0" fillId="0" borderId="7" xfId="0" applyBorder="1"/>
    <xf numFmtId="166" fontId="0" fillId="0" borderId="20" xfId="0" applyNumberFormat="1" applyBorder="1" applyAlignment="1">
      <alignment horizontal="left" vertical="top" wrapText="1" indent="2"/>
    </xf>
    <xf numFmtId="0" fontId="85" fillId="0" borderId="26" xfId="0" applyFont="1" applyBorder="1"/>
    <xf numFmtId="0" fontId="22" fillId="0" borderId="3" xfId="0" applyFont="1" applyFill="1" applyBorder="1" applyAlignment="1">
      <alignment horizontal="right" shrinkToFit="1"/>
    </xf>
    <xf numFmtId="0" fontId="22" fillId="0" borderId="3" xfId="0" applyFont="1" applyFill="1" applyBorder="1" applyAlignment="1">
      <alignment horizontal="right" vertical="top" shrinkToFit="1"/>
    </xf>
    <xf numFmtId="0" fontId="89" fillId="0" borderId="6" xfId="0" applyFont="1" applyFill="1" applyBorder="1" applyAlignment="1">
      <alignment horizontal="right" vertical="center" shrinkToFit="1"/>
    </xf>
    <xf numFmtId="0" fontId="0" fillId="0" borderId="0" xfId="0" applyBorder="1" applyAlignment="1">
      <alignment textRotation="90" shrinkToFit="1"/>
    </xf>
    <xf numFmtId="0" fontId="25" fillId="0" borderId="62" xfId="0" applyFont="1" applyBorder="1" applyAlignment="1">
      <alignment vertical="top" wrapText="1"/>
    </xf>
    <xf numFmtId="0" fontId="25" fillId="0" borderId="60" xfId="0" applyFont="1" applyBorder="1" applyAlignment="1">
      <alignment vertical="top" wrapText="1"/>
    </xf>
    <xf numFmtId="0" fontId="3" fillId="0" borderId="0" xfId="0" applyFont="1"/>
    <xf numFmtId="0" fontId="25" fillId="0" borderId="64" xfId="0" applyNumberFormat="1" applyFont="1" applyBorder="1" applyAlignment="1">
      <alignment vertical="top" wrapText="1"/>
    </xf>
    <xf numFmtId="0" fontId="89" fillId="10" borderId="89" xfId="0" applyNumberFormat="1" applyFont="1" applyFill="1" applyBorder="1" applyAlignment="1">
      <alignment horizontal="center" vertical="top" shrinkToFit="1"/>
    </xf>
    <xf numFmtId="0" fontId="56" fillId="0" borderId="0" xfId="0" applyNumberFormat="1" applyFont="1" applyFill="1" applyBorder="1" applyAlignment="1" applyProtection="1">
      <alignment horizontal="center" vertical="center"/>
    </xf>
    <xf numFmtId="0" fontId="10" fillId="22" borderId="4" xfId="0" applyNumberFormat="1" applyFont="1" applyFill="1" applyBorder="1" applyProtection="1"/>
    <xf numFmtId="0" fontId="10" fillId="0" borderId="4" xfId="0" applyNumberFormat="1" applyFont="1" applyBorder="1" applyProtection="1"/>
    <xf numFmtId="0" fontId="10" fillId="0" borderId="8" xfId="0" applyNumberFormat="1" applyFont="1" applyBorder="1" applyProtection="1"/>
    <xf numFmtId="0" fontId="56" fillId="0" borderId="0" xfId="0" applyNumberFormat="1" applyFont="1" applyBorder="1" applyAlignment="1" applyProtection="1">
      <alignment horizontal="center" vertical="center"/>
    </xf>
    <xf numFmtId="0" fontId="53" fillId="18" borderId="18" xfId="0" applyNumberFormat="1" applyFont="1" applyFill="1" applyBorder="1" applyAlignment="1" applyProtection="1">
      <alignment horizontal="center" vertical="center"/>
    </xf>
    <xf numFmtId="0" fontId="74" fillId="21" borderId="4" xfId="0" applyNumberFormat="1" applyFont="1" applyFill="1" applyBorder="1" applyAlignment="1" applyProtection="1">
      <alignment horizontal="center" vertical="center"/>
    </xf>
    <xf numFmtId="0" fontId="74" fillId="21" borderId="39" xfId="0" applyNumberFormat="1" applyFont="1" applyFill="1" applyBorder="1" applyAlignment="1" applyProtection="1">
      <alignment horizontal="center" vertical="center"/>
    </xf>
    <xf numFmtId="0" fontId="10" fillId="0" borderId="30" xfId="0" quotePrefix="1" applyNumberFormat="1" applyFont="1" applyBorder="1" applyAlignment="1" applyProtection="1">
      <alignment horizontal="center" vertical="center"/>
    </xf>
    <xf numFmtId="0" fontId="10" fillId="0" borderId="39" xfId="0" quotePrefix="1" applyNumberFormat="1" applyFont="1" applyBorder="1" applyAlignment="1" applyProtection="1">
      <alignment horizontal="center" vertical="center"/>
    </xf>
    <xf numFmtId="0" fontId="74" fillId="21" borderId="30" xfId="0" applyNumberFormat="1" applyFont="1" applyFill="1" applyBorder="1" applyAlignment="1" applyProtection="1">
      <alignment horizontal="center" vertical="center"/>
    </xf>
    <xf numFmtId="0" fontId="10" fillId="0" borderId="4" xfId="0" quotePrefix="1" applyNumberFormat="1" applyFont="1" applyBorder="1" applyAlignment="1" applyProtection="1">
      <alignment horizontal="center" vertical="center"/>
    </xf>
    <xf numFmtId="0" fontId="56" fillId="0" borderId="4" xfId="0" applyNumberFormat="1" applyFont="1" applyBorder="1" applyAlignment="1" applyProtection="1">
      <alignment vertical="center"/>
    </xf>
    <xf numFmtId="0" fontId="10" fillId="0" borderId="4" xfId="0" applyNumberFormat="1" applyFont="1" applyFill="1" applyBorder="1" applyAlignment="1" applyProtection="1">
      <alignment vertical="top" wrapText="1"/>
    </xf>
    <xf numFmtId="0" fontId="56" fillId="0" borderId="4" xfId="0" applyNumberFormat="1" applyFont="1" applyBorder="1" applyAlignment="1" applyProtection="1">
      <alignment horizontal="center" vertical="center"/>
    </xf>
    <xf numFmtId="0" fontId="10" fillId="0" borderId="4" xfId="0" applyNumberFormat="1" applyFont="1" applyFill="1" applyBorder="1" applyAlignment="1" applyProtection="1">
      <alignment vertical="center"/>
    </xf>
    <xf numFmtId="0" fontId="53" fillId="18" borderId="30" xfId="0" applyNumberFormat="1" applyFont="1" applyFill="1" applyBorder="1" applyAlignment="1" applyProtection="1">
      <alignment horizontal="center" vertical="center"/>
    </xf>
    <xf numFmtId="0" fontId="14" fillId="19" borderId="30" xfId="0" applyNumberFormat="1" applyFont="1" applyFill="1" applyBorder="1" applyAlignment="1" applyProtection="1">
      <alignment horizontal="center" vertical="center"/>
    </xf>
    <xf numFmtId="0" fontId="14" fillId="0" borderId="4" xfId="0" applyNumberFormat="1" applyFont="1" applyFill="1" applyBorder="1" applyAlignment="1" applyProtection="1">
      <alignment horizontal="center" vertical="center"/>
    </xf>
    <xf numFmtId="0" fontId="56" fillId="0" borderId="39" xfId="0" applyNumberFormat="1" applyFont="1" applyBorder="1" applyAlignment="1" applyProtection="1">
      <alignment vertical="center"/>
      <protection locked="0"/>
    </xf>
    <xf numFmtId="0" fontId="74" fillId="21" borderId="30" xfId="0" applyNumberFormat="1" applyFont="1" applyFill="1" applyBorder="1" applyAlignment="1" applyProtection="1">
      <alignment horizontal="center" vertical="center" wrapText="1"/>
    </xf>
    <xf numFmtId="0" fontId="74" fillId="21" borderId="39" xfId="0" applyNumberFormat="1" applyFont="1" applyFill="1" applyBorder="1" applyAlignment="1" applyProtection="1">
      <alignment horizontal="center" vertical="center"/>
    </xf>
    <xf numFmtId="0" fontId="10" fillId="0" borderId="30" xfId="0" applyNumberFormat="1" applyFont="1" applyBorder="1" applyAlignment="1" applyProtection="1">
      <alignment horizontal="center" vertical="center"/>
    </xf>
    <xf numFmtId="0" fontId="10" fillId="0" borderId="4" xfId="0" quotePrefix="1" applyNumberFormat="1" applyFont="1" applyBorder="1" applyAlignment="1" applyProtection="1">
      <alignment horizontal="center" vertical="center"/>
    </xf>
    <xf numFmtId="0" fontId="10" fillId="0" borderId="39" xfId="0" quotePrefix="1" applyNumberFormat="1" applyFont="1" applyBorder="1" applyAlignment="1" applyProtection="1">
      <alignment horizontal="center" vertical="center"/>
    </xf>
    <xf numFmtId="0" fontId="74" fillId="21" borderId="4" xfId="0" applyNumberFormat="1" applyFont="1" applyFill="1" applyBorder="1" applyAlignment="1" applyProtection="1">
      <alignment horizontal="center" vertical="center"/>
    </xf>
    <xf numFmtId="0" fontId="10" fillId="0" borderId="4" xfId="0" applyNumberFormat="1" applyFont="1" applyBorder="1" applyAlignment="1" applyProtection="1">
      <alignment horizontal="center" vertical="center"/>
    </xf>
    <xf numFmtId="0" fontId="76" fillId="0" borderId="4" xfId="0" quotePrefix="1" applyNumberFormat="1" applyFont="1" applyBorder="1" applyAlignment="1" applyProtection="1">
      <alignment horizontal="center" vertical="center"/>
    </xf>
    <xf numFmtId="0" fontId="76" fillId="0" borderId="39" xfId="0" quotePrefix="1" applyNumberFormat="1" applyFont="1" applyBorder="1" applyAlignment="1" applyProtection="1">
      <alignment horizontal="center" vertical="center"/>
    </xf>
    <xf numFmtId="0" fontId="74" fillId="21" borderId="30" xfId="0" applyNumberFormat="1" applyFont="1" applyFill="1" applyBorder="1" applyAlignment="1" applyProtection="1">
      <alignment horizontal="center" vertical="center"/>
    </xf>
    <xf numFmtId="0" fontId="10" fillId="0" borderId="30" xfId="0" quotePrefix="1" applyNumberFormat="1" applyFont="1" applyBorder="1" applyAlignment="1" applyProtection="1">
      <alignment horizontal="center" vertical="center"/>
    </xf>
    <xf numFmtId="0" fontId="74" fillId="18" borderId="4" xfId="0" applyNumberFormat="1" applyFont="1" applyFill="1" applyBorder="1" applyAlignment="1" applyProtection="1">
      <alignment horizontal="center" vertical="center"/>
    </xf>
    <xf numFmtId="0" fontId="0" fillId="0" borderId="30" xfId="0" applyNumberFormat="1" applyBorder="1" applyAlignment="1"/>
    <xf numFmtId="0" fontId="0" fillId="0" borderId="4" xfId="0" applyNumberFormat="1" applyBorder="1" applyAlignment="1"/>
    <xf numFmtId="0" fontId="10" fillId="0" borderId="4" xfId="0" applyNumberFormat="1" applyFont="1" applyBorder="1" applyAlignment="1" applyProtection="1">
      <alignment horizontal="left" vertical="center"/>
      <protection hidden="1"/>
    </xf>
    <xf numFmtId="0" fontId="10" fillId="0" borderId="4" xfId="0" applyNumberFormat="1" applyFont="1" applyBorder="1" applyAlignment="1" applyProtection="1">
      <alignment horizontal="left" vertical="center"/>
    </xf>
    <xf numFmtId="0" fontId="56" fillId="0" borderId="8" xfId="0" applyNumberFormat="1" applyFont="1" applyBorder="1" applyAlignment="1" applyProtection="1">
      <alignment vertical="center"/>
      <protection locked="0"/>
    </xf>
    <xf numFmtId="0" fontId="0" fillId="0" borderId="0" xfId="0" applyNumberFormat="1" applyFill="1" applyAlignment="1">
      <alignment horizontal="center"/>
    </xf>
    <xf numFmtId="0" fontId="0" fillId="0" borderId="0" xfId="0" applyNumberFormat="1"/>
    <xf numFmtId="164" fontId="0" fillId="0" borderId="0" xfId="0" applyNumberFormat="1" applyFill="1" applyAlignment="1">
      <alignment horizontal="center"/>
    </xf>
    <xf numFmtId="164" fontId="0" fillId="0" borderId="37" xfId="0" applyNumberFormat="1" applyFill="1" applyBorder="1" applyAlignment="1">
      <alignment horizontal="center"/>
    </xf>
    <xf numFmtId="0" fontId="26" fillId="0" borderId="0" xfId="0" applyFont="1" applyFill="1"/>
    <xf numFmtId="1" fontId="10" fillId="0" borderId="5" xfId="0" applyNumberFormat="1" applyFont="1" applyBorder="1" applyAlignment="1" applyProtection="1">
      <alignment horizontal="left" vertical="top" wrapText="1"/>
      <protection locked="0"/>
    </xf>
    <xf numFmtId="1" fontId="10" fillId="0" borderId="5" xfId="0" applyNumberFormat="1" applyFont="1" applyFill="1" applyBorder="1" applyAlignment="1" applyProtection="1">
      <alignment horizontal="left" vertical="top" wrapText="1"/>
      <protection locked="0"/>
    </xf>
    <xf numFmtId="1" fontId="10" fillId="0" borderId="0" xfId="0" applyNumberFormat="1" applyFont="1" applyBorder="1" applyAlignment="1" applyProtection="1">
      <alignment horizontal="left" vertical="top" wrapText="1"/>
      <protection locked="0"/>
    </xf>
    <xf numFmtId="1" fontId="10" fillId="22" borderId="0" xfId="0" applyNumberFormat="1" applyFont="1" applyFill="1" applyBorder="1" applyProtection="1"/>
    <xf numFmtId="1" fontId="10" fillId="0" borderId="56" xfId="0" applyNumberFormat="1" applyFont="1" applyFill="1" applyBorder="1" applyAlignment="1" applyProtection="1">
      <alignment horizontal="left" vertical="top" wrapText="1"/>
    </xf>
    <xf numFmtId="1" fontId="10" fillId="24" borderId="23" xfId="0" applyNumberFormat="1" applyFont="1" applyFill="1" applyBorder="1" applyAlignment="1" applyProtection="1">
      <alignment horizontal="left" vertical="center"/>
    </xf>
    <xf numFmtId="1" fontId="10" fillId="9" borderId="23" xfId="0" applyNumberFormat="1" applyFont="1" applyFill="1" applyBorder="1" applyAlignment="1" applyProtection="1">
      <alignment horizontal="left" vertical="center"/>
    </xf>
    <xf numFmtId="1" fontId="10" fillId="26" borderId="24" xfId="0" applyNumberFormat="1" applyFont="1" applyFill="1" applyBorder="1" applyAlignment="1" applyProtection="1">
      <alignment horizontal="left" vertical="center"/>
    </xf>
    <xf numFmtId="1" fontId="57" fillId="0" borderId="0" xfId="0" applyNumberFormat="1" applyFont="1" applyFill="1" applyBorder="1" applyAlignment="1" applyProtection="1">
      <alignment horizontal="left" vertical="center"/>
      <protection locked="0"/>
    </xf>
    <xf numFmtId="1" fontId="57" fillId="0" borderId="31" xfId="0" applyNumberFormat="1" applyFont="1" applyFill="1" applyBorder="1" applyAlignment="1" applyProtection="1">
      <alignment horizontal="left" vertical="center"/>
      <protection locked="0"/>
    </xf>
    <xf numFmtId="1" fontId="57" fillId="20" borderId="37" xfId="0" applyNumberFormat="1" applyFont="1" applyFill="1" applyBorder="1" applyAlignment="1" applyProtection="1">
      <alignment horizontal="left" vertical="center"/>
      <protection locked="0"/>
    </xf>
    <xf numFmtId="1" fontId="53" fillId="21" borderId="31" xfId="0" applyNumberFormat="1" applyFont="1" applyFill="1" applyBorder="1" applyAlignment="1" applyProtection="1">
      <alignment vertical="center"/>
    </xf>
    <xf numFmtId="1" fontId="53" fillId="21" borderId="37" xfId="0" applyNumberFormat="1" applyFont="1" applyFill="1" applyBorder="1" applyAlignment="1" applyProtection="1">
      <alignment vertical="center"/>
    </xf>
    <xf numFmtId="1" fontId="79" fillId="0" borderId="31" xfId="0" applyNumberFormat="1" applyFont="1" applyBorder="1" applyAlignment="1" applyProtection="1"/>
    <xf numFmtId="1" fontId="14" fillId="0" borderId="0" xfId="0" applyNumberFormat="1" applyFont="1" applyFill="1" applyBorder="1" applyAlignment="1" applyProtection="1">
      <alignment horizontal="left" vertical="center"/>
    </xf>
    <xf numFmtId="1" fontId="14" fillId="0" borderId="0" xfId="0" quotePrefix="1" applyNumberFormat="1" applyFont="1" applyFill="1" applyBorder="1" applyAlignment="1" applyProtection="1">
      <alignment vertical="center"/>
    </xf>
    <xf numFmtId="1" fontId="10" fillId="6" borderId="5" xfId="0" applyNumberFormat="1" applyFont="1" applyFill="1" applyBorder="1" applyAlignment="1" applyProtection="1">
      <alignment horizontal="center" vertical="center"/>
      <protection locked="0"/>
    </xf>
    <xf numFmtId="1" fontId="53" fillId="21" borderId="0" xfId="0" applyNumberFormat="1" applyFont="1" applyFill="1" applyBorder="1" applyAlignment="1" applyProtection="1">
      <alignment vertical="center"/>
    </xf>
    <xf numFmtId="1" fontId="80" fillId="0" borderId="0" xfId="0" applyNumberFormat="1" applyFont="1" applyFill="1" applyBorder="1" applyAlignment="1" applyProtection="1">
      <alignment horizontal="left" vertical="center"/>
    </xf>
    <xf numFmtId="1" fontId="10" fillId="32" borderId="5" xfId="0" applyNumberFormat="1" applyFont="1" applyFill="1" applyBorder="1" applyAlignment="1" applyProtection="1">
      <alignment horizontal="center" vertical="center"/>
    </xf>
    <xf numFmtId="1" fontId="80" fillId="0" borderId="0" xfId="0" quotePrefix="1" applyNumberFormat="1" applyFont="1" applyBorder="1" applyAlignment="1" applyProtection="1"/>
    <xf numFmtId="1" fontId="79" fillId="0" borderId="0" xfId="0" applyNumberFormat="1" applyFont="1" applyBorder="1" applyAlignment="1" applyProtection="1"/>
    <xf numFmtId="1" fontId="80" fillId="0" borderId="0" xfId="0" applyNumberFormat="1" applyFont="1" applyBorder="1" applyAlignment="1" applyProtection="1"/>
    <xf numFmtId="1" fontId="79" fillId="0" borderId="0" xfId="0" quotePrefix="1" applyNumberFormat="1" applyFont="1" applyBorder="1" applyAlignment="1" applyProtection="1"/>
    <xf numFmtId="1" fontId="53" fillId="21" borderId="31" xfId="0" applyNumberFormat="1" applyFont="1" applyFill="1" applyBorder="1" applyAlignment="1" applyProtection="1">
      <alignment horizontal="left" vertical="center"/>
    </xf>
    <xf numFmtId="1" fontId="53" fillId="21" borderId="37" xfId="0" applyNumberFormat="1" applyFont="1" applyFill="1" applyBorder="1" applyAlignment="1" applyProtection="1">
      <alignment horizontal="left" vertical="center"/>
    </xf>
    <xf numFmtId="1" fontId="14" fillId="0" borderId="31" xfId="0" applyNumberFormat="1" applyFont="1" applyFill="1" applyBorder="1" applyAlignment="1" applyProtection="1">
      <alignment vertical="center"/>
    </xf>
    <xf numFmtId="1" fontId="14" fillId="0" borderId="0" xfId="0" applyNumberFormat="1" applyFont="1" applyFill="1" applyBorder="1" applyAlignment="1" applyProtection="1">
      <alignment vertical="center"/>
    </xf>
    <xf numFmtId="1" fontId="14" fillId="0" borderId="37" xfId="0" applyNumberFormat="1" applyFont="1" applyFill="1" applyBorder="1" applyAlignment="1" applyProtection="1">
      <alignment vertical="center"/>
    </xf>
    <xf numFmtId="1" fontId="57" fillId="18" borderId="0" xfId="0" applyNumberFormat="1" applyFont="1" applyFill="1" applyBorder="1" applyAlignment="1" applyProtection="1">
      <alignment horizontal="left" vertical="center"/>
      <protection locked="0"/>
    </xf>
    <xf numFmtId="1" fontId="10" fillId="0" borderId="31" xfId="0" applyNumberFormat="1" applyFont="1" applyBorder="1" applyAlignment="1" applyProtection="1">
      <alignment vertical="center"/>
    </xf>
    <xf numFmtId="1" fontId="10" fillId="0" borderId="0" xfId="0" applyNumberFormat="1" applyFont="1" applyBorder="1" applyAlignment="1" applyProtection="1">
      <alignment vertical="center"/>
    </xf>
    <xf numFmtId="1" fontId="10" fillId="0" borderId="0" xfId="0" applyNumberFormat="1" applyFont="1" applyBorder="1" applyAlignment="1" applyProtection="1">
      <alignment horizontal="left" vertical="center"/>
      <protection hidden="1"/>
    </xf>
    <xf numFmtId="1" fontId="10" fillId="0" borderId="0" xfId="0" applyNumberFormat="1" applyFont="1" applyBorder="1" applyAlignment="1" applyProtection="1">
      <alignment horizontal="left" vertical="center"/>
    </xf>
    <xf numFmtId="1" fontId="57" fillId="0" borderId="7" xfId="0" applyNumberFormat="1" applyFont="1" applyFill="1" applyBorder="1" applyAlignment="1" applyProtection="1">
      <alignment horizontal="left" vertical="center"/>
      <protection locked="0"/>
    </xf>
    <xf numFmtId="1" fontId="14" fillId="0" borderId="3" xfId="0" applyNumberFormat="1" applyFont="1" applyBorder="1" applyAlignment="1" applyProtection="1">
      <alignment horizontal="center" vertical="center"/>
    </xf>
    <xf numFmtId="1" fontId="74" fillId="0" borderId="3" xfId="0" applyNumberFormat="1" applyFont="1" applyBorder="1" applyAlignment="1" applyProtection="1">
      <alignment horizontal="center" vertical="center" wrapText="1"/>
    </xf>
    <xf numFmtId="1" fontId="14" fillId="0" borderId="6" xfId="0" applyNumberFormat="1" applyFont="1" applyBorder="1" applyAlignment="1" applyProtection="1">
      <alignment horizontal="center" vertical="center"/>
    </xf>
    <xf numFmtId="1" fontId="53" fillId="18" borderId="3" xfId="0" applyNumberFormat="1" applyFont="1" applyFill="1" applyBorder="1" applyAlignment="1" applyProtection="1">
      <alignment vertical="center"/>
    </xf>
    <xf numFmtId="1" fontId="10" fillId="19" borderId="14" xfId="0" applyNumberFormat="1" applyFont="1" applyFill="1" applyBorder="1" applyAlignment="1" applyProtection="1">
      <alignment horizontal="left" vertical="top" wrapText="1"/>
    </xf>
    <xf numFmtId="1" fontId="10" fillId="25" borderId="22" xfId="0" applyNumberFormat="1" applyFont="1" applyFill="1" applyBorder="1" applyAlignment="1" applyProtection="1">
      <alignment horizontal="left" vertical="center"/>
    </xf>
    <xf numFmtId="1" fontId="14" fillId="0" borderId="0" xfId="0" applyNumberFormat="1" applyFont="1" applyBorder="1" applyAlignment="1" applyProtection="1">
      <alignment horizontal="center" vertical="center"/>
    </xf>
    <xf numFmtId="1" fontId="14" fillId="0" borderId="0" xfId="0" applyNumberFormat="1" applyFont="1" applyBorder="1" applyAlignment="1" applyProtection="1">
      <alignment horizontal="center" vertical="center"/>
      <protection locked="0"/>
    </xf>
    <xf numFmtId="1" fontId="14" fillId="0" borderId="52" xfId="0" applyNumberFormat="1" applyFont="1" applyBorder="1" applyAlignment="1" applyProtection="1">
      <alignment vertical="center"/>
    </xf>
    <xf numFmtId="1" fontId="14" fillId="0" borderId="3" xfId="0" applyNumberFormat="1" applyFont="1" applyBorder="1" applyAlignment="1" applyProtection="1">
      <alignment vertical="center"/>
    </xf>
    <xf numFmtId="1" fontId="17" fillId="0" borderId="49" xfId="0" applyNumberFormat="1" applyFont="1" applyBorder="1" applyAlignment="1" applyProtection="1">
      <alignment horizontal="center" vertical="center"/>
    </xf>
    <xf numFmtId="1" fontId="53" fillId="21" borderId="52" xfId="0" applyNumberFormat="1" applyFont="1" applyFill="1" applyBorder="1" applyAlignment="1" applyProtection="1">
      <alignment vertical="center"/>
    </xf>
    <xf numFmtId="1" fontId="75" fillId="21" borderId="49" xfId="0" applyNumberFormat="1" applyFont="1" applyFill="1" applyBorder="1" applyAlignment="1" applyProtection="1">
      <alignment horizontal="left" vertical="center"/>
    </xf>
    <xf numFmtId="1" fontId="56" fillId="8" borderId="11" xfId="0" applyNumberFormat="1" applyFont="1" applyFill="1" applyBorder="1" applyAlignment="1" applyProtection="1">
      <alignment horizontal="center" vertical="center"/>
      <protection locked="0"/>
    </xf>
    <xf numFmtId="1" fontId="14" fillId="4" borderId="11" xfId="0" applyNumberFormat="1" applyFont="1" applyFill="1" applyBorder="1" applyAlignment="1" applyProtection="1">
      <alignment horizontal="center" vertical="center"/>
      <protection locked="0"/>
    </xf>
    <xf numFmtId="1" fontId="57" fillId="0" borderId="49" xfId="0" applyNumberFormat="1" applyFont="1" applyFill="1" applyBorder="1" applyAlignment="1" applyProtection="1">
      <alignment horizontal="left" vertical="center"/>
      <protection locked="0"/>
    </xf>
    <xf numFmtId="1" fontId="53" fillId="21" borderId="3" xfId="0" applyNumberFormat="1" applyFont="1" applyFill="1" applyBorder="1" applyAlignment="1" applyProtection="1">
      <alignment vertical="center"/>
    </xf>
    <xf numFmtId="1" fontId="56" fillId="4" borderId="11" xfId="0" applyNumberFormat="1" applyFont="1" applyFill="1" applyBorder="1" applyAlignment="1" applyProtection="1">
      <alignment horizontal="center" vertical="center"/>
      <protection locked="0"/>
    </xf>
    <xf numFmtId="1" fontId="58" fillId="0" borderId="0" xfId="0" quotePrefix="1" applyNumberFormat="1" applyFont="1" applyBorder="1" applyAlignment="1" applyProtection="1">
      <alignment vertical="top" wrapText="1"/>
    </xf>
    <xf numFmtId="1" fontId="57" fillId="0" borderId="3" xfId="0" applyNumberFormat="1" applyFont="1" applyFill="1" applyBorder="1" applyAlignment="1" applyProtection="1">
      <alignment horizontal="left" vertical="center"/>
    </xf>
    <xf numFmtId="1" fontId="57" fillId="0" borderId="49" xfId="0" applyNumberFormat="1" applyFont="1" applyFill="1" applyBorder="1" applyAlignment="1" applyProtection="1">
      <alignment horizontal="left" vertical="center"/>
    </xf>
    <xf numFmtId="1" fontId="56" fillId="8" borderId="44" xfId="0" applyNumberFormat="1" applyFont="1" applyFill="1" applyBorder="1" applyAlignment="1" applyProtection="1">
      <alignment horizontal="center" vertical="center"/>
      <protection locked="0"/>
    </xf>
    <xf numFmtId="1" fontId="53" fillId="21" borderId="52" xfId="0" applyNumberFormat="1" applyFont="1" applyFill="1" applyBorder="1" applyAlignment="1" applyProtection="1">
      <alignment horizontal="left" vertical="center"/>
    </xf>
    <xf numFmtId="1" fontId="53" fillId="33" borderId="3" xfId="0" applyNumberFormat="1" applyFont="1" applyFill="1" applyBorder="1" applyAlignment="1" applyProtection="1">
      <alignment horizontal="left" vertical="top"/>
    </xf>
    <xf numFmtId="1" fontId="14" fillId="29" borderId="14" xfId="0" applyNumberFormat="1" applyFont="1" applyFill="1" applyBorder="1" applyAlignment="1" applyProtection="1">
      <alignment horizontal="center" vertical="center"/>
    </xf>
    <xf numFmtId="1" fontId="14" fillId="30" borderId="14" xfId="0" applyNumberFormat="1" applyFont="1" applyFill="1" applyBorder="1" applyAlignment="1" applyProtection="1">
      <alignment horizontal="center" vertical="center"/>
    </xf>
    <xf numFmtId="1" fontId="14" fillId="31" borderId="14" xfId="0" applyNumberFormat="1" applyFont="1" applyFill="1" applyBorder="1" applyAlignment="1" applyProtection="1">
      <alignment horizontal="center" vertical="center"/>
    </xf>
    <xf numFmtId="1" fontId="53" fillId="21" borderId="14" xfId="0" applyNumberFormat="1" applyFont="1" applyFill="1" applyBorder="1" applyAlignment="1" applyProtection="1">
      <alignment horizontal="center" vertical="center"/>
      <protection hidden="1"/>
    </xf>
    <xf numFmtId="1" fontId="53" fillId="20" borderId="14" xfId="0" applyNumberFormat="1" applyFont="1" applyFill="1" applyBorder="1" applyAlignment="1" applyProtection="1">
      <alignment horizontal="center" vertical="center"/>
    </xf>
    <xf numFmtId="1" fontId="53" fillId="20" borderId="14" xfId="0" applyNumberFormat="1" applyFont="1" applyFill="1" applyBorder="1" applyAlignment="1" applyProtection="1">
      <alignment horizontal="center" vertical="center"/>
      <protection hidden="1"/>
    </xf>
    <xf numFmtId="1" fontId="83" fillId="0" borderId="6" xfId="0" applyNumberFormat="1" applyFont="1" applyFill="1" applyBorder="1" applyAlignment="1" applyProtection="1">
      <alignment vertical="center"/>
    </xf>
    <xf numFmtId="1" fontId="10" fillId="0" borderId="31" xfId="0" applyNumberFormat="1" applyFont="1" applyFill="1" applyBorder="1" applyAlignment="1" applyProtection="1">
      <alignment vertical="top" wrapText="1"/>
    </xf>
    <xf numFmtId="1" fontId="10" fillId="0" borderId="0" xfId="0" applyNumberFormat="1" applyFont="1" applyFill="1" applyBorder="1" applyAlignment="1" applyProtection="1">
      <alignment vertical="top" wrapText="1"/>
    </xf>
    <xf numFmtId="1" fontId="56" fillId="0" borderId="0" xfId="0" applyNumberFormat="1" applyFont="1" applyBorder="1" applyAlignment="1" applyProtection="1">
      <alignment vertical="top" wrapText="1"/>
    </xf>
    <xf numFmtId="1" fontId="58" fillId="0" borderId="0" xfId="0" applyNumberFormat="1" applyFont="1" applyBorder="1" applyAlignment="1" applyProtection="1">
      <alignment vertical="top" wrapText="1"/>
    </xf>
    <xf numFmtId="1" fontId="60" fillId="0" borderId="0" xfId="0" applyNumberFormat="1" applyFont="1" applyBorder="1" applyAlignment="1" applyProtection="1">
      <alignment vertical="top" wrapText="1"/>
    </xf>
    <xf numFmtId="1" fontId="23" fillId="20" borderId="37" xfId="0" applyNumberFormat="1" applyFont="1" applyFill="1" applyBorder="1" applyAlignment="1" applyProtection="1">
      <alignment vertical="top" wrapText="1"/>
    </xf>
    <xf numFmtId="1" fontId="53" fillId="21" borderId="0" xfId="0" applyNumberFormat="1" applyFont="1" applyFill="1" applyBorder="1" applyAlignment="1" applyProtection="1">
      <alignment vertical="top" wrapText="1"/>
    </xf>
    <xf numFmtId="1" fontId="10" fillId="0" borderId="31" xfId="0" applyNumberFormat="1" applyFont="1" applyBorder="1" applyAlignment="1" applyProtection="1">
      <alignment vertical="top" wrapText="1"/>
    </xf>
    <xf numFmtId="1" fontId="10" fillId="0" borderId="37" xfId="0" applyNumberFormat="1" applyFont="1" applyFill="1" applyBorder="1" applyAlignment="1" applyProtection="1">
      <alignment vertical="top" wrapText="1"/>
    </xf>
    <xf numFmtId="1" fontId="10" fillId="0" borderId="37" xfId="0" applyNumberFormat="1" applyFont="1" applyBorder="1" applyAlignment="1">
      <alignment vertical="top" wrapText="1"/>
    </xf>
    <xf numFmtId="1" fontId="10" fillId="0" borderId="0" xfId="0" applyNumberFormat="1" applyFont="1" applyBorder="1" applyAlignment="1" applyProtection="1">
      <alignment vertical="top" wrapText="1"/>
    </xf>
    <xf numFmtId="1" fontId="10" fillId="0" borderId="0" xfId="0" applyNumberFormat="1" applyFont="1" applyBorder="1" applyAlignment="1">
      <alignment vertical="top" wrapText="1"/>
    </xf>
    <xf numFmtId="1" fontId="10" fillId="0" borderId="37" xfId="0" applyNumberFormat="1" applyFont="1" applyBorder="1" applyAlignment="1" applyProtection="1">
      <alignment vertical="top" wrapText="1"/>
    </xf>
    <xf numFmtId="1" fontId="10" fillId="0" borderId="7" xfId="0" applyNumberFormat="1" applyFont="1" applyFill="1" applyBorder="1" applyAlignment="1" applyProtection="1">
      <alignment vertical="top" wrapText="1"/>
    </xf>
    <xf numFmtId="1" fontId="10" fillId="0" borderId="0" xfId="0" applyNumberFormat="1" applyFont="1" applyAlignment="1">
      <alignment vertical="top" wrapText="1"/>
    </xf>
    <xf numFmtId="2" fontId="52" fillId="0" borderId="71" xfId="0" applyNumberFormat="1" applyFont="1" applyBorder="1" applyAlignment="1">
      <alignment horizontal="center" wrapText="1"/>
    </xf>
    <xf numFmtId="2" fontId="51" fillId="0" borderId="73" xfId="0" applyNumberFormat="1" applyFont="1" applyBorder="1" applyAlignment="1">
      <alignment horizontal="center" wrapText="1"/>
    </xf>
    <xf numFmtId="2" fontId="10" fillId="0" borderId="0" xfId="0" applyNumberFormat="1" applyFont="1" applyAlignment="1">
      <alignment vertical="top" wrapText="1"/>
    </xf>
    <xf numFmtId="169" fontId="52" fillId="0" borderId="71" xfId="0" applyNumberFormat="1" applyFont="1" applyBorder="1" applyAlignment="1">
      <alignment horizontal="center" wrapText="1"/>
    </xf>
    <xf numFmtId="169" fontId="51" fillId="0" borderId="73" xfId="0" applyNumberFormat="1" applyFont="1" applyBorder="1" applyAlignment="1">
      <alignment horizontal="right" wrapText="1"/>
    </xf>
    <xf numFmtId="169" fontId="10" fillId="0" borderId="0" xfId="0" applyNumberFormat="1" applyFont="1" applyAlignment="1">
      <alignment vertical="top" wrapText="1"/>
    </xf>
    <xf numFmtId="1" fontId="10" fillId="4" borderId="8" xfId="0" applyNumberFormat="1" applyFont="1" applyFill="1" applyBorder="1" applyAlignment="1" applyProtection="1">
      <alignment horizontal="left" vertical="center" shrinkToFit="1"/>
      <protection locked="0"/>
    </xf>
    <xf numFmtId="2" fontId="10" fillId="4" borderId="7" xfId="0" applyNumberFormat="1" applyFont="1" applyFill="1" applyBorder="1" applyAlignment="1" applyProtection="1">
      <alignment horizontal="left" vertical="center" shrinkToFit="1"/>
      <protection locked="0"/>
    </xf>
    <xf numFmtId="2" fontId="10" fillId="0" borderId="7" xfId="0" applyNumberFormat="1" applyFont="1" applyFill="1" applyBorder="1" applyAlignment="1" applyProtection="1">
      <alignment horizontal="right" vertical="center" shrinkToFit="1"/>
      <protection locked="0"/>
    </xf>
    <xf numFmtId="1" fontId="10" fillId="4" borderId="2" xfId="0" applyNumberFormat="1" applyFont="1" applyFill="1" applyBorder="1" applyAlignment="1" applyProtection="1">
      <alignment horizontal="left" shrinkToFit="1"/>
      <protection locked="0"/>
    </xf>
    <xf numFmtId="1" fontId="10" fillId="4" borderId="0" xfId="0" applyNumberFormat="1" applyFont="1" applyFill="1" applyBorder="1" applyAlignment="1" applyProtection="1">
      <alignment horizontal="left" shrinkToFit="1"/>
      <protection locked="0"/>
    </xf>
    <xf numFmtId="1" fontId="10" fillId="4" borderId="0" xfId="0" applyNumberFormat="1" applyFont="1" applyFill="1" applyBorder="1" applyAlignment="1" applyProtection="1">
      <alignment horizontal="left" vertical="center" shrinkToFit="1"/>
      <protection locked="0"/>
    </xf>
    <xf numFmtId="0" fontId="10" fillId="0" borderId="95" xfId="0" applyFont="1" applyFill="1" applyBorder="1" applyAlignment="1" applyProtection="1">
      <alignment horizontal="right" shrinkToFit="1"/>
      <protection locked="0"/>
    </xf>
    <xf numFmtId="1" fontId="10" fillId="4" borderId="96" xfId="0" applyNumberFormat="1" applyFont="1" applyFill="1" applyBorder="1" applyAlignment="1" applyProtection="1">
      <alignment horizontal="left" shrinkToFit="1"/>
      <protection locked="0"/>
    </xf>
    <xf numFmtId="0" fontId="10" fillId="0" borderId="97" xfId="0" applyFont="1" applyFill="1" applyBorder="1" applyAlignment="1" applyProtection="1">
      <alignment horizontal="right" vertical="center" shrinkToFit="1"/>
      <protection locked="0"/>
    </xf>
    <xf numFmtId="1" fontId="10" fillId="4" borderId="98" xfId="0" applyNumberFormat="1" applyFont="1" applyFill="1" applyBorder="1" applyAlignment="1" applyProtection="1">
      <alignment horizontal="left" shrinkToFit="1"/>
      <protection locked="0"/>
    </xf>
    <xf numFmtId="0" fontId="10" fillId="0" borderId="99" xfId="0" applyFont="1" applyFill="1" applyBorder="1" applyAlignment="1" applyProtection="1">
      <alignment horizontal="right" vertical="center" shrinkToFit="1"/>
      <protection locked="0"/>
    </xf>
    <xf numFmtId="1" fontId="10" fillId="4" borderId="100" xfId="0" applyNumberFormat="1" applyFont="1" applyFill="1" applyBorder="1" applyAlignment="1" applyProtection="1">
      <alignment horizontal="left" vertical="center" shrinkToFit="1"/>
      <protection locked="0"/>
    </xf>
    <xf numFmtId="3" fontId="6" fillId="0" borderId="0" xfId="0" applyNumberFormat="1" applyFont="1" applyFill="1" applyBorder="1" applyAlignment="1">
      <alignment shrinkToFit="1"/>
    </xf>
    <xf numFmtId="0" fontId="98" fillId="0" borderId="0" xfId="0" applyFont="1" applyFill="1" applyBorder="1" applyAlignment="1">
      <alignment horizontal="right" indent="1"/>
    </xf>
    <xf numFmtId="0" fontId="0" fillId="0" borderId="0" xfId="0" applyBorder="1" applyAlignment="1">
      <alignment textRotation="90" shrinkToFit="1"/>
    </xf>
    <xf numFmtId="1" fontId="14" fillId="29" borderId="11" xfId="0" applyNumberFormat="1" applyFont="1" applyFill="1" applyBorder="1" applyAlignment="1" applyProtection="1">
      <alignment horizontal="center" vertical="center"/>
    </xf>
    <xf numFmtId="1" fontId="14" fillId="30" borderId="11" xfId="0" applyNumberFormat="1" applyFont="1" applyFill="1" applyBorder="1" applyAlignment="1" applyProtection="1">
      <alignment horizontal="center" vertical="center"/>
    </xf>
    <xf numFmtId="1" fontId="14" fillId="31" borderId="80" xfId="0" applyNumberFormat="1" applyFont="1" applyFill="1" applyBorder="1" applyAlignment="1" applyProtection="1">
      <alignment horizontal="center" vertical="center"/>
    </xf>
    <xf numFmtId="0" fontId="30" fillId="0" borderId="0" xfId="0" applyFont="1" applyFill="1" applyBorder="1" applyAlignment="1">
      <alignment horizontal="left" indent="1"/>
    </xf>
    <xf numFmtId="3" fontId="6" fillId="10" borderId="17" xfId="0" applyNumberFormat="1" applyFont="1" applyFill="1" applyBorder="1" applyAlignment="1">
      <alignment shrinkToFit="1"/>
    </xf>
    <xf numFmtId="1" fontId="57" fillId="0" borderId="0" xfId="0" applyNumberFormat="1" applyFont="1" applyFill="1" applyBorder="1" applyAlignment="1" applyProtection="1">
      <alignment horizontal="left" vertical="center"/>
    </xf>
    <xf numFmtId="1" fontId="10" fillId="19" borderId="12" xfId="0" applyNumberFormat="1" applyFont="1" applyFill="1" applyBorder="1" applyAlignment="1" applyProtection="1">
      <alignment horizontal="left" vertical="top" wrapText="1"/>
    </xf>
    <xf numFmtId="1" fontId="10" fillId="25" borderId="25" xfId="0" applyNumberFormat="1" applyFont="1" applyFill="1" applyBorder="1" applyAlignment="1" applyProtection="1">
      <alignment horizontal="left" vertical="center"/>
    </xf>
    <xf numFmtId="1" fontId="53" fillId="18" borderId="46" xfId="0" applyNumberFormat="1" applyFont="1" applyFill="1" applyBorder="1" applyAlignment="1" applyProtection="1">
      <alignment horizontal="left" vertical="center"/>
    </xf>
    <xf numFmtId="1" fontId="53" fillId="21" borderId="0" xfId="0" applyNumberFormat="1" applyFont="1" applyFill="1" applyBorder="1" applyAlignment="1" applyProtection="1">
      <alignment horizontal="right" vertical="center"/>
    </xf>
    <xf numFmtId="1" fontId="53" fillId="21" borderId="37" xfId="0" applyNumberFormat="1" applyFont="1" applyFill="1" applyBorder="1" applyAlignment="1" applyProtection="1">
      <alignment horizontal="left" vertical="center"/>
    </xf>
    <xf numFmtId="1" fontId="76" fillId="0" borderId="31" xfId="0" applyNumberFormat="1" applyFont="1" applyFill="1" applyBorder="1" applyAlignment="1" applyProtection="1">
      <alignment vertical="center"/>
    </xf>
    <xf numFmtId="1" fontId="76" fillId="0" borderId="37" xfId="0" applyNumberFormat="1" applyFont="1" applyFill="1" applyBorder="1" applyAlignment="1" applyProtection="1">
      <alignment vertical="center"/>
    </xf>
    <xf numFmtId="1" fontId="53" fillId="21" borderId="31" xfId="0" applyNumberFormat="1" applyFont="1" applyFill="1" applyBorder="1" applyAlignment="1" applyProtection="1">
      <alignment horizontal="right" vertical="center"/>
    </xf>
    <xf numFmtId="1" fontId="76" fillId="0" borderId="0" xfId="0" applyNumberFormat="1" applyFont="1" applyFill="1" applyBorder="1" applyAlignment="1" applyProtection="1">
      <alignment vertical="center"/>
    </xf>
    <xf numFmtId="1" fontId="53" fillId="18" borderId="31" xfId="0" applyNumberFormat="1" applyFont="1" applyFill="1" applyBorder="1" applyAlignment="1" applyProtection="1">
      <alignment horizontal="left" vertical="center"/>
    </xf>
    <xf numFmtId="1" fontId="14" fillId="19" borderId="31" xfId="0" applyNumberFormat="1" applyFont="1" applyFill="1" applyBorder="1" applyAlignment="1" applyProtection="1">
      <alignment horizontal="left" vertical="center"/>
    </xf>
    <xf numFmtId="1" fontId="14" fillId="0" borderId="0" xfId="0" applyNumberFormat="1" applyFont="1" applyFill="1" applyBorder="1" applyAlignment="1" applyProtection="1">
      <alignment horizontal="left" vertical="center"/>
    </xf>
    <xf numFmtId="1" fontId="14" fillId="19" borderId="46" xfId="0" applyNumberFormat="1" applyFont="1" applyFill="1" applyBorder="1" applyAlignment="1" applyProtection="1">
      <alignment horizontal="left" vertical="center"/>
    </xf>
    <xf numFmtId="1" fontId="14" fillId="0" borderId="0" xfId="0" applyNumberFormat="1" applyFont="1" applyBorder="1" applyAlignment="1" applyProtection="1">
      <alignment horizontal="center" vertical="center"/>
      <protection locked="0"/>
    </xf>
    <xf numFmtId="0" fontId="0" fillId="0" borderId="0" xfId="0" applyFill="1" applyBorder="1" applyAlignment="1">
      <alignment textRotation="90" shrinkToFit="1"/>
    </xf>
    <xf numFmtId="0" fontId="0" fillId="0" borderId="0" xfId="0" applyBorder="1" applyAlignment="1">
      <alignment textRotation="90" shrinkToFit="1"/>
    </xf>
    <xf numFmtId="0" fontId="31" fillId="0" borderId="49" xfId="0" applyFont="1" applyBorder="1" applyAlignment="1">
      <alignment horizontal="center"/>
    </xf>
    <xf numFmtId="0" fontId="31" fillId="0" borderId="37" xfId="0" applyFont="1" applyBorder="1" applyAlignment="1">
      <alignment horizontal="center"/>
    </xf>
    <xf numFmtId="3" fontId="29" fillId="0" borderId="37" xfId="0" applyNumberFormat="1" applyFont="1" applyFill="1" applyBorder="1" applyAlignment="1">
      <alignment horizontal="center" shrinkToFit="1"/>
    </xf>
    <xf numFmtId="3" fontId="29" fillId="0" borderId="39" xfId="0" applyNumberFormat="1" applyFont="1" applyFill="1" applyBorder="1" applyAlignment="1">
      <alignment horizontal="center" shrinkToFit="1"/>
    </xf>
    <xf numFmtId="0" fontId="2" fillId="0" borderId="0" xfId="0" applyFont="1" applyFill="1" applyBorder="1" applyAlignment="1">
      <alignment horizontal="left" indent="1"/>
    </xf>
    <xf numFmtId="167" fontId="15" fillId="0" borderId="0" xfId="0" applyNumberFormat="1" applyFont="1" applyFill="1" applyBorder="1" applyAlignment="1" applyProtection="1">
      <alignment horizontal="right" vertical="center" shrinkToFit="1"/>
    </xf>
    <xf numFmtId="3" fontId="10" fillId="0" borderId="0" xfId="0" applyNumberFormat="1" applyFont="1" applyFill="1" applyBorder="1" applyAlignment="1" applyProtection="1">
      <alignment horizontal="right" shrinkToFit="1"/>
      <protection locked="0"/>
    </xf>
    <xf numFmtId="167" fontId="10" fillId="0" borderId="0" xfId="0" applyNumberFormat="1" applyFont="1" applyFill="1" applyBorder="1" applyAlignment="1" applyProtection="1">
      <alignment horizontal="left" vertical="center" shrinkToFit="1"/>
    </xf>
    <xf numFmtId="0" fontId="0" fillId="0" borderId="0" xfId="0" applyFill="1" applyAlignment="1">
      <alignment shrinkToFit="1"/>
    </xf>
    <xf numFmtId="0" fontId="21" fillId="0" borderId="37" xfId="0" applyFont="1" applyFill="1" applyBorder="1"/>
    <xf numFmtId="0" fontId="30" fillId="0" borderId="39" xfId="0" applyFont="1" applyFill="1" applyBorder="1" applyAlignment="1">
      <alignment horizontal="right" indent="1"/>
    </xf>
    <xf numFmtId="37" fontId="0" fillId="10" borderId="10" xfId="0" applyNumberFormat="1" applyFill="1" applyBorder="1"/>
    <xf numFmtId="37" fontId="0" fillId="10" borderId="47" xfId="0" applyNumberFormat="1" applyFill="1" applyBorder="1"/>
    <xf numFmtId="3" fontId="0" fillId="10" borderId="47" xfId="0" applyNumberFormat="1" applyFill="1" applyBorder="1"/>
    <xf numFmtId="0" fontId="2" fillId="0" borderId="0" xfId="0" applyFont="1" applyFill="1" applyBorder="1"/>
    <xf numFmtId="0" fontId="90" fillId="0" borderId="0" xfId="0" quotePrefix="1" applyFont="1" applyFill="1" applyBorder="1" applyAlignment="1">
      <alignment horizontal="left" indent="3"/>
    </xf>
    <xf numFmtId="0" fontId="90" fillId="0" borderId="0" xfId="0" quotePrefix="1" applyFont="1" applyFill="1" applyBorder="1" applyAlignment="1">
      <alignment horizontal="left" indent="4"/>
    </xf>
    <xf numFmtId="0" fontId="2" fillId="0" borderId="36" xfId="0" applyFont="1" applyFill="1" applyBorder="1" applyAlignment="1">
      <alignment horizontal="left" indent="1"/>
    </xf>
    <xf numFmtId="0" fontId="2" fillId="0" borderId="33" xfId="0" applyFont="1" applyFill="1" applyBorder="1" applyAlignment="1">
      <alignment horizontal="left" indent="7"/>
    </xf>
    <xf numFmtId="0" fontId="2" fillId="0" borderId="33" xfId="0" applyFont="1" applyFill="1" applyBorder="1" applyAlignment="1">
      <alignment horizontal="left" indent="1"/>
    </xf>
    <xf numFmtId="0" fontId="2" fillId="0" borderId="33" xfId="0" applyFont="1" applyFill="1" applyBorder="1" applyAlignment="1">
      <alignment horizontal="left" indent="9"/>
    </xf>
    <xf numFmtId="0" fontId="2" fillId="0" borderId="33" xfId="0" applyFont="1" applyFill="1" applyBorder="1" applyAlignment="1">
      <alignment horizontal="left" indent="10"/>
    </xf>
    <xf numFmtId="0" fontId="2" fillId="0" borderId="33" xfId="0" applyFont="1" applyFill="1" applyBorder="1" applyAlignment="1">
      <alignment horizontal="left" indent="2"/>
    </xf>
    <xf numFmtId="0" fontId="29" fillId="0" borderId="0" xfId="0" quotePrefix="1" applyFont="1" applyFill="1" applyBorder="1" applyAlignment="1">
      <alignment horizontal="right" indent="1"/>
    </xf>
    <xf numFmtId="0" fontId="2" fillId="0" borderId="3" xfId="0" applyFont="1" applyFill="1" applyBorder="1" applyAlignment="1">
      <alignment horizontal="left" indent="1"/>
    </xf>
    <xf numFmtId="3" fontId="21" fillId="10" borderId="47" xfId="0" applyNumberFormat="1" applyFont="1" applyFill="1" applyBorder="1" applyAlignment="1">
      <alignment shrinkToFit="1"/>
    </xf>
    <xf numFmtId="0" fontId="29" fillId="0" borderId="3" xfId="0" applyFont="1" applyFill="1" applyBorder="1" applyAlignment="1">
      <alignment horizontal="left" indent="1"/>
    </xf>
    <xf numFmtId="166" fontId="31" fillId="0" borderId="0" xfId="0" applyNumberFormat="1" applyFont="1" applyBorder="1" applyAlignment="1">
      <alignment horizontal="left" vertical="top" wrapText="1" indent="2"/>
    </xf>
    <xf numFmtId="166" fontId="31" fillId="0" borderId="4" xfId="0" applyNumberFormat="1" applyFont="1" applyBorder="1" applyAlignment="1">
      <alignment horizontal="left" vertical="top" wrapText="1" indent="2"/>
    </xf>
    <xf numFmtId="9" fontId="31" fillId="0" borderId="3" xfId="0" applyNumberFormat="1" applyFont="1" applyBorder="1" applyAlignment="1">
      <alignment horizontal="center" vertical="center" shrinkToFit="1"/>
    </xf>
    <xf numFmtId="3" fontId="29" fillId="10" borderId="38" xfId="0" applyNumberFormat="1" applyFont="1" applyFill="1" applyBorder="1" applyAlignment="1">
      <alignment shrinkToFit="1"/>
    </xf>
    <xf numFmtId="3" fontId="30" fillId="10" borderId="38" xfId="0" applyNumberFormat="1" applyFont="1" applyFill="1" applyBorder="1" applyAlignment="1">
      <alignment shrinkToFit="1"/>
    </xf>
    <xf numFmtId="3" fontId="29" fillId="10" borderId="20" xfId="0" applyNumberFormat="1" applyFont="1" applyFill="1" applyBorder="1" applyAlignment="1">
      <alignment shrinkToFit="1"/>
    </xf>
    <xf numFmtId="3" fontId="29" fillId="0" borderId="0" xfId="0" applyNumberFormat="1" applyFont="1" applyFill="1" applyBorder="1" applyAlignment="1">
      <alignment horizontal="right" shrinkToFit="1"/>
    </xf>
    <xf numFmtId="9" fontId="29" fillId="10" borderId="0" xfId="0" applyNumberFormat="1" applyFont="1" applyFill="1" applyBorder="1" applyAlignment="1">
      <alignment shrinkToFit="1"/>
    </xf>
    <xf numFmtId="0" fontId="30" fillId="0" borderId="4" xfId="0" applyFont="1" applyFill="1" applyBorder="1" applyAlignment="1">
      <alignment horizontal="right" indent="1"/>
    </xf>
    <xf numFmtId="166" fontId="21" fillId="0" borderId="0" xfId="0" quotePrefix="1" applyNumberFormat="1" applyFont="1" applyFill="1" applyBorder="1" applyAlignment="1">
      <alignment horizontal="center"/>
    </xf>
    <xf numFmtId="166" fontId="0" fillId="0" borderId="1" xfId="0" applyNumberFormat="1" applyFill="1" applyBorder="1"/>
    <xf numFmtId="9" fontId="102" fillId="0" borderId="3" xfId="0" applyNumberFormat="1" applyFont="1" applyBorder="1" applyAlignment="1">
      <alignment horizontal="center" vertical="center" shrinkToFit="1"/>
    </xf>
    <xf numFmtId="4" fontId="0" fillId="10" borderId="4" xfId="0" applyNumberFormat="1" applyFill="1" applyBorder="1" applyAlignment="1">
      <alignment horizontal="center"/>
    </xf>
    <xf numFmtId="4" fontId="29" fillId="10" borderId="4" xfId="0" applyNumberFormat="1" applyFont="1" applyFill="1" applyBorder="1" applyAlignment="1">
      <alignment horizontal="center"/>
    </xf>
    <xf numFmtId="170" fontId="0" fillId="10" borderId="4" xfId="0" applyNumberFormat="1" applyFill="1" applyBorder="1" applyAlignment="1">
      <alignment horizontal="center"/>
    </xf>
    <xf numFmtId="170" fontId="29" fillId="10" borderId="8" xfId="0" applyNumberFormat="1" applyFont="1" applyFill="1" applyBorder="1" applyAlignment="1">
      <alignment horizontal="center"/>
    </xf>
    <xf numFmtId="170" fontId="29" fillId="10" borderId="4" xfId="0" applyNumberFormat="1" applyFont="1" applyFill="1" applyBorder="1" applyAlignment="1">
      <alignment horizontal="center"/>
    </xf>
    <xf numFmtId="166" fontId="21" fillId="0" borderId="0" xfId="0" applyNumberFormat="1" applyFont="1" applyFill="1" applyBorder="1" applyAlignment="1">
      <alignment horizontal="right" shrinkToFit="1"/>
    </xf>
    <xf numFmtId="164" fontId="31" fillId="10" borderId="0" xfId="0" applyNumberFormat="1" applyFont="1" applyFill="1" applyBorder="1"/>
    <xf numFmtId="170" fontId="14" fillId="10" borderId="4" xfId="0" applyNumberFormat="1" applyFont="1" applyFill="1" applyBorder="1" applyAlignment="1">
      <alignment horizontal="center"/>
    </xf>
    <xf numFmtId="4" fontId="14" fillId="10" borderId="4" xfId="0" applyNumberFormat="1" applyFont="1" applyFill="1" applyBorder="1" applyAlignment="1">
      <alignment horizontal="center"/>
    </xf>
    <xf numFmtId="166" fontId="0" fillId="0" borderId="50" xfId="0" applyNumberFormat="1" applyBorder="1" applyAlignment="1">
      <alignment horizontal="left" vertical="top" wrapText="1" indent="2"/>
    </xf>
    <xf numFmtId="37" fontId="14" fillId="10" borderId="17" xfId="0" applyNumberFormat="1" applyFont="1" applyFill="1" applyBorder="1"/>
    <xf numFmtId="3" fontId="14" fillId="10" borderId="34" xfId="0" applyNumberFormat="1" applyFont="1" applyFill="1" applyBorder="1"/>
    <xf numFmtId="9" fontId="30" fillId="10" borderId="0" xfId="0" applyNumberFormat="1" applyFont="1" applyFill="1" applyBorder="1" applyAlignment="1">
      <alignment shrinkToFit="1"/>
    </xf>
    <xf numFmtId="3" fontId="21" fillId="0" borderId="0" xfId="0" applyNumberFormat="1" applyFont="1" applyFill="1" applyBorder="1" applyAlignment="1">
      <alignment shrinkToFit="1"/>
    </xf>
    <xf numFmtId="3" fontId="14" fillId="10" borderId="28" xfId="0" applyNumberFormat="1" applyFont="1" applyFill="1" applyBorder="1"/>
    <xf numFmtId="3" fontId="14" fillId="10" borderId="17" xfId="0" applyNumberFormat="1" applyFont="1" applyFill="1" applyBorder="1"/>
    <xf numFmtId="3" fontId="14" fillId="10" borderId="45" xfId="0" applyNumberFormat="1" applyFont="1" applyFill="1" applyBorder="1"/>
    <xf numFmtId="166" fontId="14" fillId="0" borderId="0" xfId="0" applyNumberFormat="1" applyFont="1"/>
    <xf numFmtId="166" fontId="14" fillId="0" borderId="31" xfId="0" applyNumberFormat="1" applyFont="1" applyBorder="1"/>
    <xf numFmtId="37" fontId="14" fillId="10" borderId="10" xfId="0" applyNumberFormat="1" applyFont="1" applyFill="1" applyBorder="1"/>
    <xf numFmtId="37" fontId="14" fillId="10" borderId="47" xfId="0" applyNumberFormat="1" applyFont="1" applyFill="1" applyBorder="1"/>
    <xf numFmtId="164" fontId="94" fillId="10" borderId="0" xfId="0" applyNumberFormat="1" applyFont="1" applyFill="1" applyBorder="1"/>
    <xf numFmtId="166" fontId="30" fillId="0" borderId="0" xfId="0" applyNumberFormat="1" applyFont="1" applyFill="1" applyBorder="1"/>
    <xf numFmtId="166" fontId="14" fillId="0" borderId="1" xfId="0" applyNumberFormat="1" applyFont="1" applyFill="1" applyBorder="1"/>
    <xf numFmtId="1" fontId="89" fillId="10" borderId="86" xfId="0" applyNumberFormat="1" applyFont="1" applyFill="1" applyBorder="1" applyAlignment="1">
      <alignment horizontal="center" vertical="top" shrinkToFit="1"/>
    </xf>
    <xf numFmtId="1" fontId="89" fillId="10" borderId="92" xfId="0" applyNumberFormat="1" applyFont="1" applyFill="1" applyBorder="1" applyAlignment="1">
      <alignment horizontal="center" vertical="top" shrinkToFit="1"/>
    </xf>
    <xf numFmtId="164" fontId="29" fillId="0" borderId="0" xfId="0" applyNumberFormat="1" applyFont="1" applyFill="1" applyBorder="1" applyAlignment="1">
      <alignment horizontal="center" shrinkToFit="1"/>
    </xf>
    <xf numFmtId="164" fontId="29" fillId="0" borderId="0" xfId="0" applyNumberFormat="1" applyFont="1" applyFill="1" applyBorder="1" applyAlignment="1">
      <alignment horizontal="right" shrinkToFit="1"/>
    </xf>
    <xf numFmtId="0" fontId="29" fillId="0" borderId="0" xfId="0" applyFont="1" applyFill="1" applyBorder="1" applyAlignment="1">
      <alignment horizontal="left" shrinkToFit="1"/>
    </xf>
    <xf numFmtId="0" fontId="0" fillId="0" borderId="0" xfId="0" applyFill="1" applyBorder="1" applyAlignment="1">
      <alignment shrinkToFit="1"/>
    </xf>
    <xf numFmtId="0" fontId="29" fillId="0" borderId="101" xfId="0" applyFont="1" applyFill="1" applyBorder="1" applyAlignment="1">
      <alignment horizontal="right" indent="1"/>
    </xf>
    <xf numFmtId="3" fontId="0" fillId="0" borderId="101" xfId="0" applyNumberFormat="1" applyFill="1" applyBorder="1"/>
    <xf numFmtId="3" fontId="14" fillId="0" borderId="101" xfId="0" applyNumberFormat="1" applyFont="1" applyFill="1" applyBorder="1"/>
    <xf numFmtId="15" fontId="101" fillId="15" borderId="46" xfId="0" applyNumberFormat="1" applyFont="1" applyFill="1" applyBorder="1" applyAlignment="1" applyProtection="1">
      <alignment vertical="center" shrinkToFit="1"/>
    </xf>
    <xf numFmtId="15" fontId="16" fillId="8" borderId="0" xfId="0" applyNumberFormat="1" applyFont="1" applyFill="1" applyAlignment="1" applyProtection="1">
      <alignment shrinkToFit="1"/>
      <protection locked="0"/>
    </xf>
    <xf numFmtId="167" fontId="10" fillId="8" borderId="18" xfId="0" applyNumberFormat="1" applyFont="1" applyFill="1" applyBorder="1" applyAlignment="1" applyProtection="1">
      <alignment horizontal="left" vertical="center" shrinkToFit="1"/>
      <protection locked="0"/>
    </xf>
    <xf numFmtId="3" fontId="15" fillId="8" borderId="46" xfId="0" applyNumberFormat="1" applyFont="1" applyFill="1" applyBorder="1" applyAlignment="1" applyProtection="1">
      <alignment horizontal="right" vertical="center" shrinkToFit="1"/>
      <protection locked="0"/>
    </xf>
    <xf numFmtId="9" fontId="29" fillId="8" borderId="0" xfId="0" applyNumberFormat="1" applyFont="1" applyFill="1" applyBorder="1" applyAlignment="1" applyProtection="1">
      <alignment shrinkToFit="1"/>
      <protection locked="0"/>
    </xf>
    <xf numFmtId="0" fontId="32" fillId="8" borderId="0" xfId="0" applyFont="1" applyFill="1" applyBorder="1" applyAlignment="1" applyProtection="1">
      <alignment horizontal="center" shrinkToFit="1"/>
      <protection locked="0"/>
    </xf>
    <xf numFmtId="3" fontId="29" fillId="8" borderId="34" xfId="0" applyNumberFormat="1" applyFont="1" applyFill="1" applyBorder="1" applyProtection="1">
      <protection locked="0"/>
    </xf>
    <xf numFmtId="3" fontId="30" fillId="8" borderId="34" xfId="0" applyNumberFormat="1" applyFont="1" applyFill="1" applyBorder="1" applyProtection="1">
      <protection locked="0"/>
    </xf>
    <xf numFmtId="3" fontId="0" fillId="8" borderId="5" xfId="0" applyNumberFormat="1" applyFill="1" applyBorder="1" applyProtection="1">
      <protection locked="0"/>
    </xf>
    <xf numFmtId="3" fontId="14" fillId="8" borderId="34" xfId="0" applyNumberFormat="1" applyFont="1" applyFill="1" applyBorder="1" applyProtection="1">
      <protection locked="0"/>
    </xf>
    <xf numFmtId="3" fontId="29" fillId="8" borderId="5" xfId="0" applyNumberFormat="1" applyFont="1" applyFill="1" applyBorder="1" applyProtection="1">
      <protection locked="0"/>
    </xf>
    <xf numFmtId="3" fontId="30" fillId="8" borderId="5" xfId="0" applyNumberFormat="1" applyFont="1" applyFill="1" applyBorder="1" applyProtection="1">
      <protection locked="0"/>
    </xf>
    <xf numFmtId="3" fontId="29" fillId="8" borderId="38" xfId="0" applyNumberFormat="1" applyFont="1" applyFill="1" applyBorder="1" applyProtection="1">
      <protection locked="0"/>
    </xf>
    <xf numFmtId="3" fontId="30" fillId="8" borderId="93" xfId="0" applyNumberFormat="1" applyFont="1" applyFill="1" applyBorder="1" applyProtection="1">
      <protection locked="0"/>
    </xf>
    <xf numFmtId="3" fontId="29" fillId="8" borderId="75" xfId="0" applyNumberFormat="1" applyFont="1" applyFill="1" applyBorder="1" applyProtection="1">
      <protection locked="0"/>
    </xf>
    <xf numFmtId="3" fontId="0" fillId="8" borderId="28" xfId="0" applyNumberFormat="1" applyFill="1" applyBorder="1" applyProtection="1">
      <protection locked="0"/>
    </xf>
    <xf numFmtId="3" fontId="14" fillId="8" borderId="5" xfId="0" applyNumberFormat="1" applyFont="1" applyFill="1" applyBorder="1" applyProtection="1">
      <protection locked="0"/>
    </xf>
    <xf numFmtId="37" fontId="0" fillId="8" borderId="80" xfId="0" applyNumberFormat="1" applyFill="1" applyBorder="1" applyProtection="1">
      <protection locked="0"/>
    </xf>
    <xf numFmtId="37" fontId="14" fillId="8" borderId="28" xfId="0" applyNumberFormat="1" applyFont="1" applyFill="1" applyBorder="1" applyProtection="1">
      <protection locked="0"/>
    </xf>
    <xf numFmtId="37" fontId="0" fillId="8" borderId="51" xfId="0" applyNumberFormat="1" applyFill="1" applyBorder="1" applyProtection="1">
      <protection locked="0"/>
    </xf>
    <xf numFmtId="166" fontId="32" fillId="8" borderId="0" xfId="0" applyNumberFormat="1" applyFont="1" applyFill="1" applyBorder="1" applyAlignment="1" applyProtection="1">
      <alignment horizontal="center" vertical="center" shrinkToFit="1"/>
      <protection locked="0"/>
    </xf>
    <xf numFmtId="3" fontId="0" fillId="8" borderId="5" xfId="0" quotePrefix="1" applyNumberFormat="1" applyFill="1" applyBorder="1" applyAlignment="1" applyProtection="1">
      <alignment horizontal="center"/>
      <protection locked="0"/>
    </xf>
    <xf numFmtId="3" fontId="14" fillId="8" borderId="28" xfId="0" applyNumberFormat="1" applyFont="1" applyFill="1" applyBorder="1" applyProtection="1">
      <protection locked="0"/>
    </xf>
    <xf numFmtId="166" fontId="10" fillId="8" borderId="0" xfId="0" applyNumberFormat="1" applyFont="1" applyFill="1" applyBorder="1" applyProtection="1">
      <protection locked="0"/>
    </xf>
    <xf numFmtId="3" fontId="0" fillId="8" borderId="10" xfId="0" applyNumberFormat="1" applyFill="1" applyBorder="1" applyProtection="1">
      <protection locked="0"/>
    </xf>
    <xf numFmtId="3" fontId="14" fillId="8" borderId="27" xfId="0" applyNumberFormat="1" applyFont="1" applyFill="1" applyBorder="1" applyProtection="1">
      <protection locked="0"/>
    </xf>
    <xf numFmtId="3" fontId="0" fillId="8" borderId="54" xfId="0" applyNumberFormat="1" applyFill="1" applyBorder="1" applyProtection="1">
      <protection locked="0"/>
    </xf>
    <xf numFmtId="3" fontId="0" fillId="8" borderId="11" xfId="0" applyNumberFormat="1" applyFill="1" applyBorder="1" applyProtection="1">
      <protection locked="0"/>
    </xf>
    <xf numFmtId="3" fontId="0" fillId="8" borderId="19" xfId="0" applyNumberFormat="1" applyFill="1" applyBorder="1" applyProtection="1">
      <protection locked="0"/>
    </xf>
    <xf numFmtId="3" fontId="0" fillId="8" borderId="55" xfId="0" applyNumberFormat="1" applyFill="1" applyBorder="1" applyProtection="1">
      <protection locked="0"/>
    </xf>
    <xf numFmtId="3" fontId="14" fillId="8" borderId="21" xfId="0" applyNumberFormat="1" applyFont="1" applyFill="1" applyBorder="1" applyProtection="1">
      <protection locked="0"/>
    </xf>
    <xf numFmtId="3" fontId="0" fillId="8" borderId="53" xfId="0" applyNumberFormat="1" applyFill="1" applyBorder="1" applyProtection="1">
      <protection locked="0"/>
    </xf>
    <xf numFmtId="0" fontId="29" fillId="8" borderId="46" xfId="0" applyFont="1" applyFill="1" applyBorder="1" applyAlignment="1" applyProtection="1">
      <alignment horizontal="left" shrinkToFit="1"/>
      <protection locked="0"/>
    </xf>
    <xf numFmtId="164" fontId="29" fillId="8" borderId="46" xfId="0" applyNumberFormat="1" applyFont="1" applyFill="1" applyBorder="1" applyAlignment="1" applyProtection="1">
      <alignment horizontal="center" shrinkToFit="1"/>
      <protection locked="0"/>
    </xf>
    <xf numFmtId="9" fontId="48" fillId="8" borderId="63" xfId="0" applyNumberFormat="1" applyFont="1" applyFill="1" applyBorder="1" applyAlignment="1" applyProtection="1">
      <alignment horizontal="center" vertical="top" wrapText="1"/>
      <protection locked="0"/>
    </xf>
    <xf numFmtId="0" fontId="11" fillId="0" borderId="0" xfId="0" applyFont="1" applyFill="1" applyBorder="1" applyAlignment="1" applyProtection="1">
      <alignment horizontal="left" vertical="center"/>
    </xf>
    <xf numFmtId="1" fontId="105" fillId="0" borderId="26" xfId="0" applyNumberFormat="1" applyFont="1" applyBorder="1"/>
    <xf numFmtId="0" fontId="57" fillId="0" borderId="50" xfId="0" applyFont="1" applyFill="1" applyBorder="1" applyAlignment="1" applyProtection="1">
      <alignment horizontal="left" vertical="center"/>
    </xf>
    <xf numFmtId="1" fontId="105" fillId="0" borderId="3" xfId="0" applyNumberFormat="1" applyFont="1" applyBorder="1"/>
    <xf numFmtId="0" fontId="57" fillId="0" borderId="4" xfId="0" applyFont="1" applyFill="1" applyBorder="1" applyAlignment="1" applyProtection="1">
      <alignment horizontal="left" vertical="center"/>
    </xf>
    <xf numFmtId="0" fontId="74" fillId="0" borderId="4" xfId="0" applyFont="1" applyBorder="1" applyAlignment="1">
      <alignment vertical="center" wrapText="1"/>
    </xf>
    <xf numFmtId="0" fontId="57" fillId="0" borderId="8" xfId="0" applyFont="1" applyFill="1" applyBorder="1" applyAlignment="1" applyProtection="1">
      <alignment horizontal="left" vertical="center"/>
    </xf>
    <xf numFmtId="0" fontId="53" fillId="21" borderId="37" xfId="0" applyNumberFormat="1" applyFont="1" applyFill="1" applyBorder="1" applyAlignment="1" applyProtection="1">
      <alignment horizontal="left" vertical="center"/>
    </xf>
    <xf numFmtId="0" fontId="16" fillId="0" borderId="0" xfId="0" applyFont="1"/>
    <xf numFmtId="0" fontId="27" fillId="10" borderId="77" xfId="0" applyFont="1" applyFill="1" applyBorder="1" applyAlignment="1" applyProtection="1">
      <alignment horizontal="center"/>
      <protection locked="0"/>
    </xf>
    <xf numFmtId="0" fontId="107" fillId="0" borderId="0" xfId="0" applyFont="1" applyAlignment="1">
      <alignment vertical="top"/>
    </xf>
    <xf numFmtId="0" fontId="107" fillId="0" borderId="0" xfId="0" applyFont="1" applyAlignment="1">
      <alignment horizontal="right" vertical="top"/>
    </xf>
    <xf numFmtId="0" fontId="103" fillId="15" borderId="32" xfId="0" applyFont="1" applyFill="1" applyBorder="1" applyAlignment="1" applyProtection="1">
      <alignment horizontal="left" vertical="center" shrinkToFit="1"/>
    </xf>
    <xf numFmtId="0" fontId="104" fillId="0" borderId="46" xfId="0" applyFont="1" applyBorder="1" applyAlignment="1">
      <alignment horizontal="left" vertical="center" shrinkToFit="1"/>
    </xf>
    <xf numFmtId="0" fontId="0" fillId="0" borderId="46" xfId="0" applyBorder="1" applyAlignment="1">
      <alignment vertical="center" shrinkToFit="1"/>
    </xf>
    <xf numFmtId="3" fontId="0" fillId="0" borderId="37" xfId="0" applyNumberFormat="1" applyBorder="1" applyAlignment="1">
      <alignment shrinkToFit="1"/>
    </xf>
    <xf numFmtId="3" fontId="0" fillId="0" borderId="0" xfId="0" applyNumberFormat="1" applyAlignment="1">
      <alignment shrinkToFit="1"/>
    </xf>
    <xf numFmtId="9" fontId="2" fillId="10" borderId="3" xfId="0" applyNumberFormat="1" applyFont="1" applyFill="1" applyBorder="1" applyAlignment="1">
      <alignment horizontal="center" shrinkToFit="1"/>
    </xf>
    <xf numFmtId="9" fontId="10" fillId="10" borderId="0" xfId="0" applyNumberFormat="1" applyFont="1" applyFill="1" applyBorder="1" applyAlignment="1">
      <alignment horizontal="center" shrinkToFit="1"/>
    </xf>
    <xf numFmtId="0" fontId="10" fillId="0" borderId="4" xfId="0" applyFont="1" applyBorder="1" applyAlignment="1">
      <alignment shrinkToFit="1"/>
    </xf>
    <xf numFmtId="166" fontId="8" fillId="0" borderId="3" xfId="0" applyNumberFormat="1" applyFont="1" applyFill="1" applyBorder="1" applyAlignment="1">
      <alignment horizontal="right" shrinkToFit="1"/>
    </xf>
    <xf numFmtId="166" fontId="0" fillId="0" borderId="0" xfId="0" applyNumberFormat="1" applyBorder="1" applyAlignment="1">
      <alignment shrinkToFit="1"/>
    </xf>
    <xf numFmtId="166" fontId="21" fillId="0" borderId="3" xfId="0" applyNumberFormat="1" applyFont="1" applyFill="1" applyBorder="1" applyAlignment="1">
      <alignment horizontal="right" shrinkToFit="1"/>
    </xf>
    <xf numFmtId="166" fontId="14" fillId="0" borderId="0" xfId="0" applyNumberFormat="1" applyFont="1" applyBorder="1" applyAlignment="1">
      <alignment shrinkToFit="1"/>
    </xf>
    <xf numFmtId="0" fontId="2" fillId="5" borderId="3" xfId="0" applyFont="1" applyFill="1" applyBorder="1" applyAlignment="1">
      <alignment shrinkToFit="1"/>
    </xf>
    <xf numFmtId="0" fontId="0" fillId="0" borderId="0" xfId="0" applyBorder="1" applyAlignment="1">
      <alignment shrinkToFit="1"/>
    </xf>
    <xf numFmtId="0" fontId="0" fillId="0" borderId="4" xfId="0" applyBorder="1" applyAlignment="1">
      <alignment shrinkToFit="1"/>
    </xf>
    <xf numFmtId="9" fontId="30" fillId="10" borderId="3" xfId="0" applyNumberFormat="1" applyFont="1" applyFill="1" applyBorder="1" applyAlignment="1">
      <alignment horizontal="center" shrinkToFit="1"/>
    </xf>
    <xf numFmtId="9" fontId="94" fillId="10" borderId="0" xfId="0" applyNumberFormat="1" applyFont="1" applyFill="1" applyBorder="1" applyAlignment="1">
      <alignment horizontal="center" shrinkToFit="1"/>
    </xf>
    <xf numFmtId="0" fontId="10" fillId="5" borderId="3" xfId="0" applyFont="1" applyFill="1" applyBorder="1" applyAlignment="1">
      <alignment shrinkToFit="1"/>
    </xf>
    <xf numFmtId="166" fontId="8" fillId="0" borderId="6" xfId="0" applyNumberFormat="1" applyFont="1" applyFill="1" applyBorder="1" applyAlignment="1">
      <alignment horizontal="right" shrinkToFit="1"/>
    </xf>
    <xf numFmtId="166" fontId="0" fillId="0" borderId="7" xfId="0" applyNumberFormat="1" applyBorder="1" applyAlignment="1">
      <alignment shrinkToFit="1"/>
    </xf>
    <xf numFmtId="0" fontId="0" fillId="5" borderId="3" xfId="0" applyFill="1" applyBorder="1" applyAlignment="1">
      <alignment shrinkToFit="1"/>
    </xf>
    <xf numFmtId="0" fontId="33" fillId="15" borderId="32" xfId="0" applyFont="1" applyFill="1" applyBorder="1" applyAlignment="1" applyProtection="1">
      <alignment horizontal="center" vertical="center"/>
    </xf>
    <xf numFmtId="0" fontId="33" fillId="15" borderId="46" xfId="0" applyFont="1" applyFill="1" applyBorder="1" applyAlignment="1" applyProtection="1">
      <alignment horizontal="center" vertical="center"/>
    </xf>
    <xf numFmtId="0" fontId="33" fillId="15" borderId="18" xfId="0" applyFont="1" applyFill="1" applyBorder="1" applyAlignment="1" applyProtection="1">
      <alignment horizontal="center" vertical="center"/>
    </xf>
    <xf numFmtId="0" fontId="11" fillId="14" borderId="91" xfId="0" applyFont="1" applyFill="1" applyBorder="1" applyAlignment="1" applyProtection="1">
      <alignment horizontal="left" vertical="center" shrinkToFit="1"/>
      <protection locked="0"/>
    </xf>
    <xf numFmtId="0" fontId="0" fillId="0" borderId="91" xfId="0" applyBorder="1" applyAlignment="1">
      <alignment vertical="center" shrinkToFit="1"/>
    </xf>
    <xf numFmtId="0" fontId="11" fillId="14" borderId="88" xfId="0" applyFont="1" applyFill="1" applyBorder="1" applyAlignment="1" applyProtection="1">
      <alignment horizontal="left" vertical="center" shrinkToFit="1"/>
      <protection locked="0"/>
    </xf>
    <xf numFmtId="0" fontId="11" fillId="14" borderId="85" xfId="0" applyFont="1" applyFill="1" applyBorder="1" applyAlignment="1" applyProtection="1">
      <alignment horizontal="left" vertical="center" shrinkToFit="1"/>
      <protection locked="0"/>
    </xf>
    <xf numFmtId="0" fontId="0" fillId="8" borderId="2" xfId="0" applyNumberFormat="1" applyFill="1" applyBorder="1" applyAlignment="1" applyProtection="1">
      <alignment horizontal="left" vertical="top" wrapText="1" indent="2"/>
      <protection locked="0"/>
    </xf>
    <xf numFmtId="0" fontId="0" fillId="8" borderId="50" xfId="0" applyNumberFormat="1" applyFill="1" applyBorder="1" applyAlignment="1" applyProtection="1">
      <alignment horizontal="left" vertical="top" wrapText="1" indent="2"/>
      <protection locked="0"/>
    </xf>
    <xf numFmtId="0" fontId="0" fillId="8" borderId="3" xfId="0" applyNumberFormat="1" applyFill="1" applyBorder="1" applyAlignment="1" applyProtection="1">
      <alignment horizontal="left" vertical="top" wrapText="1" indent="2"/>
      <protection locked="0"/>
    </xf>
    <xf numFmtId="0" fontId="0" fillId="8" borderId="0" xfId="0" applyNumberFormat="1" applyFill="1" applyAlignment="1" applyProtection="1">
      <alignment horizontal="left" vertical="top" wrapText="1" indent="2"/>
      <protection locked="0"/>
    </xf>
    <xf numFmtId="0" fontId="0" fillId="8" borderId="4" xfId="0" applyNumberFormat="1" applyFill="1" applyBorder="1" applyAlignment="1" applyProtection="1">
      <alignment horizontal="left" vertical="top" wrapText="1" indent="2"/>
      <protection locked="0"/>
    </xf>
    <xf numFmtId="0" fontId="0" fillId="8" borderId="6" xfId="0" applyNumberFormat="1" applyFill="1" applyBorder="1" applyAlignment="1" applyProtection="1">
      <alignment horizontal="left" vertical="top" wrapText="1" indent="2"/>
      <protection locked="0"/>
    </xf>
    <xf numFmtId="0" fontId="0" fillId="8" borderId="7" xfId="0" applyNumberFormat="1" applyFill="1" applyBorder="1" applyAlignment="1" applyProtection="1">
      <alignment horizontal="left" vertical="top" wrapText="1" indent="2"/>
      <protection locked="0"/>
    </xf>
    <xf numFmtId="0" fontId="0" fillId="8" borderId="8" xfId="0" applyNumberFormat="1" applyFill="1" applyBorder="1" applyAlignment="1" applyProtection="1">
      <alignment horizontal="left" vertical="top" wrapText="1" indent="2"/>
      <protection locked="0"/>
    </xf>
    <xf numFmtId="0" fontId="93" fillId="15" borderId="6" xfId="0" applyFont="1" applyFill="1" applyBorder="1" applyAlignment="1" applyProtection="1">
      <alignment horizontal="center" vertical="center"/>
    </xf>
    <xf numFmtId="0" fontId="93" fillId="15" borderId="7" xfId="0" applyFont="1" applyFill="1" applyBorder="1" applyAlignment="1" applyProtection="1">
      <alignment horizontal="center" vertical="center"/>
    </xf>
    <xf numFmtId="0" fontId="93" fillId="15" borderId="0" xfId="0" applyFont="1" applyFill="1" applyBorder="1" applyAlignment="1" applyProtection="1">
      <alignment horizontal="center" vertical="center"/>
    </xf>
    <xf numFmtId="0" fontId="93" fillId="15" borderId="4" xfId="0" applyFont="1" applyFill="1" applyBorder="1" applyAlignment="1" applyProtection="1">
      <alignment horizontal="center" vertical="center"/>
    </xf>
    <xf numFmtId="0" fontId="14" fillId="0" borderId="26" xfId="0" applyNumberFormat="1"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50" xfId="0" applyFont="1" applyBorder="1" applyAlignment="1">
      <alignment horizontal="center" vertical="center" shrinkToFit="1"/>
    </xf>
    <xf numFmtId="3" fontId="4" fillId="10" borderId="3" xfId="0" applyNumberFormat="1" applyFont="1" applyFill="1" applyBorder="1" applyAlignment="1">
      <alignment horizontal="center" shrinkToFit="1"/>
    </xf>
    <xf numFmtId="3" fontId="10" fillId="10" borderId="0" xfId="0" applyNumberFormat="1" applyFont="1" applyFill="1" applyBorder="1" applyAlignment="1">
      <alignment horizontal="center" shrinkToFit="1"/>
    </xf>
    <xf numFmtId="164" fontId="29" fillId="8" borderId="46" xfId="0" applyNumberFormat="1" applyFont="1" applyFill="1" applyBorder="1" applyAlignment="1" applyProtection="1">
      <alignment horizontal="right" shrinkToFit="1"/>
      <protection locked="0"/>
    </xf>
    <xf numFmtId="0" fontId="0" fillId="8" borderId="46" xfId="0" applyFill="1" applyBorder="1" applyAlignment="1" applyProtection="1">
      <alignment shrinkToFit="1"/>
      <protection locked="0"/>
    </xf>
    <xf numFmtId="0" fontId="91" fillId="34" borderId="32" xfId="0" applyFont="1" applyFill="1" applyBorder="1" applyAlignment="1">
      <alignment horizontal="center"/>
    </xf>
    <xf numFmtId="0" fontId="92" fillId="0" borderId="46" xfId="0" applyFont="1" applyBorder="1" applyAlignment="1">
      <alignment horizontal="center"/>
    </xf>
    <xf numFmtId="0" fontId="92" fillId="0" borderId="18" xfId="0" applyFont="1" applyBorder="1" applyAlignment="1">
      <alignment horizontal="center"/>
    </xf>
    <xf numFmtId="0" fontId="0" fillId="0" borderId="0" xfId="0" applyBorder="1" applyAlignment="1">
      <alignment textRotation="90" shrinkToFit="1"/>
    </xf>
    <xf numFmtId="0" fontId="0" fillId="0" borderId="0" xfId="0" applyFill="1" applyBorder="1" applyAlignment="1">
      <alignment textRotation="90" shrinkToFit="1"/>
    </xf>
    <xf numFmtId="0" fontId="42" fillId="0" borderId="62" xfId="0" applyFont="1" applyBorder="1" applyAlignment="1">
      <alignment vertical="top" wrapText="1"/>
    </xf>
    <xf numFmtId="0" fontId="42" fillId="0" borderId="60" xfId="0" applyFont="1" applyBorder="1" applyAlignment="1">
      <alignment vertical="top" wrapText="1"/>
    </xf>
    <xf numFmtId="0" fontId="25" fillId="0" borderId="60" xfId="0" applyFont="1" applyBorder="1" applyAlignment="1">
      <alignment vertical="top" wrapText="1"/>
    </xf>
    <xf numFmtId="0" fontId="0" fillId="0" borderId="62" xfId="0" applyBorder="1" applyAlignment="1">
      <alignment vertical="top" wrapText="1"/>
    </xf>
    <xf numFmtId="0" fontId="20" fillId="0" borderId="62" xfId="0" applyFont="1" applyBorder="1" applyAlignment="1">
      <alignment vertical="top" wrapText="1"/>
    </xf>
    <xf numFmtId="166" fontId="25" fillId="0" borderId="60" xfId="0" applyNumberFormat="1" applyFont="1" applyBorder="1" applyAlignment="1">
      <alignment vertical="top" wrapText="1"/>
    </xf>
    <xf numFmtId="166" fontId="25" fillId="0" borderId="62" xfId="0" applyNumberFormat="1" applyFont="1" applyBorder="1" applyAlignment="1">
      <alignment vertical="top" wrapText="1"/>
    </xf>
    <xf numFmtId="166" fontId="25" fillId="0" borderId="61" xfId="0" applyNumberFormat="1" applyFont="1" applyBorder="1" applyAlignment="1">
      <alignment vertical="top" wrapText="1"/>
    </xf>
    <xf numFmtId="0" fontId="25" fillId="0" borderId="60" xfId="0" quotePrefix="1" applyFont="1" applyBorder="1" applyAlignment="1">
      <alignment vertical="top" wrapText="1"/>
    </xf>
    <xf numFmtId="0" fontId="25" fillId="0" borderId="62" xfId="0" applyFont="1" applyBorder="1" applyAlignment="1">
      <alignment vertical="top" wrapText="1"/>
    </xf>
    <xf numFmtId="0" fontId="25" fillId="0" borderId="58" xfId="0" applyFont="1" applyBorder="1" applyAlignment="1">
      <alignment vertical="top" wrapText="1"/>
    </xf>
    <xf numFmtId="0" fontId="0" fillId="0" borderId="58" xfId="0" applyBorder="1" applyAlignment="1">
      <alignment vertical="top" wrapText="1"/>
    </xf>
    <xf numFmtId="0" fontId="0" fillId="0" borderId="60" xfId="0" applyBorder="1" applyAlignment="1">
      <alignment vertical="top" wrapText="1"/>
    </xf>
    <xf numFmtId="0" fontId="72" fillId="0" borderId="62" xfId="0" quotePrefix="1" applyFont="1" applyBorder="1" applyAlignment="1">
      <alignment vertical="top" wrapText="1"/>
    </xf>
    <xf numFmtId="0" fontId="72" fillId="0" borderId="62" xfId="0" applyFont="1" applyBorder="1" applyAlignment="1">
      <alignment vertical="top" wrapText="1"/>
    </xf>
    <xf numFmtId="0" fontId="0" fillId="0" borderId="61" xfId="0" applyBorder="1"/>
    <xf numFmtId="0" fontId="10" fillId="8" borderId="40" xfId="0" applyFont="1" applyFill="1" applyBorder="1" applyAlignment="1" applyProtection="1"/>
    <xf numFmtId="0" fontId="10" fillId="8" borderId="48" xfId="0" applyFont="1" applyFill="1" applyBorder="1" applyAlignment="1" applyProtection="1"/>
    <xf numFmtId="0" fontId="10" fillId="8" borderId="41" xfId="0" applyFont="1" applyFill="1" applyBorder="1" applyAlignment="1" applyProtection="1"/>
    <xf numFmtId="0" fontId="13" fillId="0" borderId="0" xfId="0" applyFont="1" applyBorder="1" applyAlignment="1" applyProtection="1">
      <alignmen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0" fillId="6" borderId="14" xfId="0" applyFont="1" applyFill="1" applyBorder="1" applyAlignment="1" applyProtection="1">
      <alignment horizontal="left" vertical="top" wrapText="1"/>
    </xf>
    <xf numFmtId="0" fontId="0" fillId="6" borderId="12" xfId="0" applyFill="1" applyBorder="1" applyAlignment="1" applyProtection="1"/>
    <xf numFmtId="0" fontId="66" fillId="0" borderId="0" xfId="0" applyFont="1" applyBorder="1" applyAlignment="1" applyProtection="1">
      <alignment vertical="top" wrapText="1"/>
    </xf>
    <xf numFmtId="0" fontId="0" fillId="0" borderId="0" xfId="0" applyBorder="1" applyAlignment="1">
      <alignment vertical="top" wrapText="1"/>
    </xf>
    <xf numFmtId="0" fontId="79" fillId="0" borderId="0" xfId="0" applyFont="1" applyBorder="1" applyAlignment="1" applyProtection="1"/>
    <xf numFmtId="0" fontId="58" fillId="0" borderId="0" xfId="0" quotePrefix="1" applyFont="1" applyBorder="1"/>
    <xf numFmtId="166" fontId="14" fillId="0" borderId="0" xfId="0" applyNumberFormat="1" applyFont="1" applyFill="1" applyBorder="1" applyAlignment="1" applyProtection="1">
      <alignment horizontal="left" vertical="center"/>
    </xf>
    <xf numFmtId="166" fontId="10" fillId="0" borderId="0" xfId="0" quotePrefix="1" applyNumberFormat="1" applyFont="1" applyFill="1" applyBorder="1" applyAlignment="1" applyProtection="1">
      <alignment horizontal="left" vertical="center"/>
    </xf>
    <xf numFmtId="0" fontId="80" fillId="0" borderId="0" xfId="0" quotePrefix="1" applyFont="1" applyBorder="1" applyAlignment="1" applyProtection="1"/>
    <xf numFmtId="0" fontId="56" fillId="0" borderId="0" xfId="0" quotePrefix="1" applyFont="1" applyBorder="1"/>
    <xf numFmtId="166" fontId="14" fillId="0" borderId="37" xfId="0" quotePrefix="1" applyNumberFormat="1" applyFont="1" applyFill="1" applyBorder="1" applyAlignment="1" applyProtection="1">
      <alignment horizontal="left" vertical="center"/>
    </xf>
    <xf numFmtId="166" fontId="10" fillId="0" borderId="37" xfId="0" quotePrefix="1" applyNumberFormat="1" applyFont="1" applyFill="1" applyBorder="1" applyAlignment="1" applyProtection="1">
      <alignment horizontal="left" vertical="center"/>
    </xf>
    <xf numFmtId="0" fontId="80" fillId="0" borderId="0" xfId="0" applyFont="1" applyBorder="1" applyAlignment="1" applyProtection="1"/>
    <xf numFmtId="0" fontId="80" fillId="0" borderId="0" xfId="0" applyFont="1" applyBorder="1" applyAlignment="1" applyProtection="1">
      <alignment vertical="top" wrapText="1"/>
    </xf>
    <xf numFmtId="0" fontId="56" fillId="0" borderId="0" xfId="0" quotePrefix="1" applyFont="1" applyBorder="1" applyAlignment="1">
      <alignment vertical="top" wrapText="1"/>
    </xf>
    <xf numFmtId="0" fontId="80" fillId="0" borderId="37" xfId="0" applyFont="1" applyBorder="1" applyAlignment="1" applyProtection="1"/>
    <xf numFmtId="0" fontId="56" fillId="0" borderId="37" xfId="0" quotePrefix="1" applyFont="1" applyBorder="1"/>
    <xf numFmtId="166" fontId="14" fillId="0" borderId="0" xfId="0" quotePrefix="1" applyNumberFormat="1" applyFont="1" applyFill="1" applyBorder="1" applyAlignment="1" applyProtection="1">
      <alignment horizontal="left" vertical="center"/>
    </xf>
    <xf numFmtId="0" fontId="79" fillId="0" borderId="0" xfId="0" quotePrefix="1" applyFont="1" applyBorder="1" applyAlignment="1" applyProtection="1"/>
    <xf numFmtId="0" fontId="56" fillId="0" borderId="0" xfId="0" applyFont="1" applyBorder="1"/>
    <xf numFmtId="166" fontId="14" fillId="0" borderId="37" xfId="0" applyNumberFormat="1" applyFont="1" applyFill="1" applyBorder="1" applyAlignment="1" applyProtection="1">
      <alignment horizontal="left" vertical="center"/>
    </xf>
    <xf numFmtId="0" fontId="53" fillId="18" borderId="40" xfId="0" applyFont="1" applyFill="1" applyBorder="1" applyAlignment="1" applyProtection="1">
      <alignment horizontal="left" vertical="center"/>
      <protection locked="0"/>
    </xf>
    <xf numFmtId="0" fontId="53" fillId="18" borderId="48" xfId="0" applyFont="1" applyFill="1" applyBorder="1" applyAlignment="1" applyProtection="1">
      <alignment horizontal="left" vertical="center"/>
      <protection locked="0"/>
    </xf>
    <xf numFmtId="0" fontId="53" fillId="18" borderId="41" xfId="0" applyFont="1" applyFill="1" applyBorder="1" applyAlignment="1" applyProtection="1">
      <alignment horizontal="left" vertical="center"/>
      <protection locked="0"/>
    </xf>
    <xf numFmtId="0" fontId="79" fillId="0" borderId="31" xfId="0" quotePrefix="1" applyFont="1" applyBorder="1" applyAlignment="1" applyProtection="1"/>
    <xf numFmtId="0" fontId="58" fillId="0" borderId="31" xfId="0" quotePrefix="1" applyFont="1" applyBorder="1"/>
    <xf numFmtId="0" fontId="80" fillId="0" borderId="31" xfId="0" applyFont="1" applyBorder="1" applyAlignment="1" applyProtection="1">
      <alignment vertical="top" wrapText="1"/>
    </xf>
    <xf numFmtId="0" fontId="0" fillId="0" borderId="31" xfId="0" applyBorder="1" applyAlignment="1"/>
    <xf numFmtId="0" fontId="53" fillId="18" borderId="26" xfId="0" applyFont="1" applyFill="1" applyBorder="1" applyAlignment="1" applyProtection="1">
      <alignment vertical="top" wrapText="1"/>
      <protection locked="0"/>
    </xf>
    <xf numFmtId="0" fontId="0" fillId="0" borderId="74" xfId="0" applyBorder="1" applyAlignment="1">
      <alignment vertical="top" wrapText="1"/>
    </xf>
    <xf numFmtId="0" fontId="1" fillId="8" borderId="26" xfId="0" applyNumberFormat="1" applyFont="1" applyFill="1" applyBorder="1" applyAlignment="1" applyProtection="1">
      <alignment horizontal="left" vertical="top" wrapText="1" indent="2"/>
      <protection locked="0"/>
    </xf>
    <xf numFmtId="3" fontId="1" fillId="10" borderId="47" xfId="0" applyNumberFormat="1" applyFont="1" applyFill="1" applyBorder="1" applyAlignment="1">
      <alignment shrinkToFit="1"/>
    </xf>
  </cellXfs>
  <cellStyles count="2">
    <cellStyle name="Hyperlink" xfId="1" builtinId="8"/>
    <cellStyle name="Normal" xfId="0" builtinId="0" customBuiltin="1"/>
  </cellStyles>
  <dxfs count="24">
    <dxf>
      <font>
        <condense val="0"/>
        <extend val="0"/>
        <color indexed="22"/>
      </font>
    </dxf>
    <dxf>
      <font>
        <color theme="0"/>
      </font>
      <fill>
        <patternFill>
          <bgColor rgb="FF002060"/>
        </patternFill>
      </fill>
    </dxf>
    <dxf>
      <font>
        <color theme="0"/>
      </font>
      <fill>
        <patternFill>
          <bgColor theme="3"/>
        </patternFill>
      </fill>
    </dxf>
    <dxf>
      <font>
        <color theme="0"/>
      </font>
      <fill>
        <patternFill>
          <bgColor rgb="FF002060"/>
        </patternFill>
      </fill>
    </dxf>
    <dxf>
      <font>
        <b/>
        <i val="0"/>
        <condense val="0"/>
        <extend val="0"/>
        <color indexed="53"/>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16"/>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58"/>
      </font>
      <fill>
        <patternFill>
          <bgColor indexed="41"/>
        </patternFill>
      </fill>
      <border>
        <left style="thin">
          <color indexed="64"/>
        </left>
        <right style="thin">
          <color indexed="64"/>
        </right>
        <top style="thin">
          <color indexed="64"/>
        </top>
        <bottom style="thin">
          <color indexed="64"/>
        </bottom>
      </border>
    </dxf>
    <dxf>
      <font>
        <b/>
        <i val="0"/>
        <condense val="0"/>
        <extend val="0"/>
      </font>
      <fill>
        <patternFill>
          <bgColor indexed="13"/>
        </patternFill>
      </fill>
      <border>
        <left style="thin">
          <color indexed="64"/>
        </left>
        <right style="thin">
          <color indexed="64"/>
        </right>
        <top style="thin">
          <color indexed="64"/>
        </top>
        <bottom style="thin">
          <color indexed="64"/>
        </bottom>
      </border>
    </dxf>
    <dxf>
      <font>
        <b/>
        <i val="0"/>
        <condense val="0"/>
        <extend val="0"/>
      </font>
      <fill>
        <patternFill>
          <bgColor indexed="10"/>
        </patternFill>
      </fill>
      <border>
        <left style="thin">
          <color indexed="64"/>
        </left>
        <right style="thin">
          <color indexed="64"/>
        </right>
        <top style="thin">
          <color indexed="64"/>
        </top>
        <bottom style="thin">
          <color indexed="64"/>
        </bottom>
      </border>
    </dxf>
    <dxf>
      <font>
        <b/>
        <i val="0"/>
        <condense val="0"/>
        <extend val="0"/>
      </font>
      <fill>
        <patternFill>
          <bgColor indexed="17"/>
        </patternFill>
      </fill>
      <border>
        <left style="thin">
          <color indexed="64"/>
        </left>
        <right style="thin">
          <color indexed="64"/>
        </right>
        <top style="thin">
          <color indexed="64"/>
        </top>
        <bottom style="thin">
          <color indexed="64"/>
        </bottom>
      </border>
    </dxf>
    <dxf>
      <font>
        <condense val="0"/>
        <extend val="0"/>
        <color indexed="10"/>
      </font>
    </dxf>
    <dxf>
      <font>
        <condense val="0"/>
        <extend val="0"/>
        <color indexed="10"/>
      </font>
    </dxf>
    <dxf>
      <font>
        <condense val="0"/>
        <extend val="0"/>
        <color indexed="10"/>
      </font>
    </dxf>
    <dxf>
      <font>
        <condense val="0"/>
        <extend val="0"/>
        <color indexed="22"/>
      </font>
    </dxf>
    <dxf>
      <font>
        <condense val="0"/>
        <extend val="0"/>
        <color indexed="22"/>
      </font>
    </dxf>
    <dxf>
      <font>
        <b/>
        <i val="0"/>
        <condense val="0"/>
        <extend val="0"/>
        <color auto="1"/>
      </font>
      <fill>
        <patternFill>
          <bgColor indexed="17"/>
        </patternFill>
      </fill>
      <border>
        <left style="thin">
          <color indexed="64"/>
        </left>
        <right style="thin">
          <color indexed="64"/>
        </right>
        <top style="thin">
          <color indexed="64"/>
        </top>
        <bottom style="thin">
          <color indexed="64"/>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i val="0"/>
        <condense val="0"/>
        <extend val="0"/>
        <color auto="1"/>
      </font>
      <fill>
        <patternFill>
          <bgColor indexed="17"/>
        </patternFill>
      </fill>
      <border>
        <left style="thin">
          <color indexed="64"/>
        </left>
        <right style="thin">
          <color indexed="64"/>
        </right>
        <top style="thin">
          <color indexed="64"/>
        </top>
        <bottom style="thin">
          <color indexed="64"/>
        </bottom>
      </border>
    </dxf>
    <dxf>
      <font>
        <b/>
        <i val="0"/>
        <condense val="0"/>
        <extend val="0"/>
        <color auto="1"/>
      </font>
      <fill>
        <patternFill>
          <bgColor indexed="17"/>
        </patternFill>
      </fill>
      <border>
        <left style="thin">
          <color indexed="64"/>
        </left>
        <right style="thin">
          <color indexed="64"/>
        </right>
        <top style="thin">
          <color indexed="64"/>
        </top>
        <bottom style="thin">
          <color indexed="64"/>
        </bottom>
      </border>
    </dxf>
    <dxf>
      <font>
        <b/>
        <i val="0"/>
        <condense val="0"/>
        <extend val="0"/>
      </font>
      <fill>
        <patternFill>
          <bgColor indexed="13"/>
        </patternFill>
      </fill>
      <border>
        <left style="thin">
          <color indexed="64"/>
        </left>
        <right style="thin">
          <color indexed="64"/>
        </right>
        <top style="thin">
          <color indexed="64"/>
        </top>
        <bottom style="thin">
          <color indexed="64"/>
        </bottom>
      </border>
    </dxf>
    <dxf>
      <font>
        <b/>
        <i val="0"/>
        <condense val="0"/>
        <extend val="0"/>
      </font>
      <fill>
        <patternFill>
          <bgColor indexed="10"/>
        </patternFill>
      </fill>
      <border>
        <left style="thin">
          <color indexed="64"/>
        </left>
        <right style="thin">
          <color indexed="64"/>
        </right>
        <top style="thin">
          <color indexed="64"/>
        </top>
        <bottom style="thin">
          <color indexed="64"/>
        </bottom>
      </border>
    </dxf>
    <dxf>
      <font>
        <b/>
        <i val="0"/>
        <condense val="0"/>
        <extend val="0"/>
      </font>
      <fill>
        <patternFill>
          <bgColor indexed="17"/>
        </patternFill>
      </fill>
      <border>
        <left style="thin">
          <color indexed="64"/>
        </left>
        <right style="thin">
          <color indexed="64"/>
        </right>
        <top style="thin">
          <color indexed="64"/>
        </top>
        <bottom style="thin">
          <color indexed="64"/>
        </bottom>
      </border>
    </dxf>
    <dxf>
      <font>
        <b/>
        <i val="0"/>
        <strike val="0"/>
        <color theme="2" tint="-9.9917600024414813E-2"/>
      </font>
      <fill>
        <patternFill>
          <bgColor theme="8" tint="-0.24994659260841701"/>
        </patternFill>
      </fill>
    </dxf>
    <dxf>
      <font>
        <b/>
        <i val="0"/>
        <strike val="0"/>
        <color rgb="FFD8BD1A"/>
      </font>
    </dxf>
  </dxfs>
  <tableStyles count="0" defaultTableStyle="TableStyleMedium9" defaultPivotStyle="PivotStyleLight16"/>
  <colors>
    <mruColors>
      <color rgb="FFE1FFFF"/>
      <color rgb="FF0B14C5"/>
      <color rgb="FFCCFFCC"/>
      <color rgb="FFFFFF99"/>
      <color rgb="FFD8BD1A"/>
      <color rgb="FF8687A2"/>
      <color rgb="FFB1B2B9"/>
      <color rgb="FF7982AF"/>
      <color rgb="FF9198BD"/>
      <color rgb="FFCCCAD2"/>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openxmlformats.org/officeDocument/2006/relationships/image" Target="../media/image2.jpeg"/><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lang val="en-US"/>
  <c:chart>
    <c:view3D>
      <c:rotX val="30"/>
      <c:rotY val="196"/>
      <c:perspective val="30"/>
    </c:view3D>
    <c:plotArea>
      <c:layout>
        <c:manualLayout>
          <c:layoutTarget val="inner"/>
          <c:xMode val="edge"/>
          <c:yMode val="edge"/>
          <c:x val="2.0182841557903983E-2"/>
          <c:y val="0.1140583928078909"/>
          <c:w val="0.97981699417036916"/>
          <c:h val="0.76428186736388892"/>
        </c:manualLayout>
      </c:layout>
      <c:pie3DChart>
        <c:varyColors val="1"/>
        <c:ser>
          <c:idx val="0"/>
          <c:order val="0"/>
          <c:spPr>
            <a:ln>
              <a:solidFill>
                <a:schemeClr val="tx1"/>
              </a:solidFill>
            </a:ln>
            <a:effectLst>
              <a:outerShdw blurRad="152400" dist="317500" dir="5400000" sx="90000" sy="-19000" rotWithShape="0">
                <a:prstClr val="black">
                  <a:alpha val="15000"/>
                </a:prstClr>
              </a:outerShdw>
            </a:effectLst>
          </c:spPr>
          <c:dPt>
            <c:idx val="0"/>
            <c:explosion val="20"/>
            <c:spPr>
              <a:noFill/>
              <a:ln>
                <a:solidFill>
                  <a:schemeClr val="tx1"/>
                </a:solidFill>
              </a:ln>
              <a:effectLst>
                <a:outerShdw blurRad="152400" dist="317500" dir="5400000" sx="90000" sy="-19000" rotWithShape="0">
                  <a:prstClr val="black">
                    <a:alpha val="15000"/>
                  </a:prstClr>
                </a:outerShdw>
              </a:effectLst>
            </c:spPr>
          </c:dPt>
          <c:dPt>
            <c:idx val="1"/>
            <c:spPr>
              <a:solidFill>
                <a:schemeClr val="accent2">
                  <a:lumMod val="75000"/>
                </a:schemeClr>
              </a:solidFill>
              <a:ln>
                <a:solidFill>
                  <a:schemeClr val="tx1"/>
                </a:solidFill>
              </a:ln>
              <a:effectLst>
                <a:outerShdw blurRad="152400" dist="317500" dir="5400000" sx="90000" sy="-19000" rotWithShape="0">
                  <a:prstClr val="black">
                    <a:alpha val="15000"/>
                  </a:prstClr>
                </a:outerShdw>
              </a:effectLst>
            </c:spPr>
          </c:dPt>
          <c:dPt>
            <c:idx val="2"/>
            <c:spPr>
              <a:solidFill>
                <a:srgbClr val="21EF57"/>
              </a:solidFill>
              <a:ln>
                <a:solidFill>
                  <a:schemeClr val="tx1"/>
                </a:solidFill>
              </a:ln>
              <a:effectLst>
                <a:outerShdw blurRad="152400" dist="317500" dir="5400000" sx="90000" sy="-19000" rotWithShape="0">
                  <a:prstClr val="black">
                    <a:alpha val="15000"/>
                  </a:prstClr>
                </a:outerShdw>
              </a:effectLst>
            </c:spPr>
          </c:dPt>
          <c:dLbls>
            <c:dLbl>
              <c:idx val="0"/>
              <c:layout>
                <c:manualLayout>
                  <c:x val="0.10090013344880559"/>
                  <c:y val="0.22386697094722041"/>
                </c:manualLayout>
              </c:layout>
              <c:spPr/>
              <c:txPr>
                <a:bodyPr/>
                <a:lstStyle/>
                <a:p>
                  <a:pPr>
                    <a:defRPr sz="700"/>
                  </a:pPr>
                  <a:endParaRPr lang="en-US"/>
                </a:p>
              </c:txPr>
              <c:showVal val="1"/>
            </c:dLbl>
            <c:dLbl>
              <c:idx val="1"/>
              <c:layout>
                <c:manualLayout>
                  <c:x val="-6.3942899581649157E-2"/>
                  <c:y val="-4.3586511254255424E-2"/>
                </c:manualLayout>
              </c:layout>
              <c:spPr/>
              <c:txPr>
                <a:bodyPr/>
                <a:lstStyle/>
                <a:p>
                  <a:pPr>
                    <a:defRPr sz="700"/>
                  </a:pPr>
                  <a:endParaRPr lang="en-US"/>
                </a:p>
              </c:txPr>
              <c:showVal val="1"/>
            </c:dLbl>
            <c:dLbl>
              <c:idx val="2"/>
              <c:layout>
                <c:manualLayout>
                  <c:x val="-3.4672933731540352E-2"/>
                  <c:y val="4.6145488334630314E-5"/>
                </c:manualLayout>
              </c:layout>
              <c:spPr/>
              <c:txPr>
                <a:bodyPr/>
                <a:lstStyle/>
                <a:p>
                  <a:pPr>
                    <a:defRPr sz="700"/>
                  </a:pPr>
                  <a:endParaRPr lang="en-US"/>
                </a:p>
              </c:txPr>
              <c:showVal val="1"/>
            </c:dLbl>
            <c:showVal val="1"/>
          </c:dLbls>
          <c:cat>
            <c:strRef>
              <c:f>'E&amp;S_RECORD_CARD'!$B$69:$B$71</c:f>
              <c:strCache>
                <c:ptCount val="3"/>
                <c:pt idx="0">
                  <c:v>Use Reduction</c:v>
                </c:pt>
                <c:pt idx="1">
                  <c:v>Net Utilities</c:v>
                </c:pt>
                <c:pt idx="2">
                  <c:v>Renewable</c:v>
                </c:pt>
              </c:strCache>
            </c:strRef>
          </c:cat>
          <c:val>
            <c:numRef>
              <c:f>'E&amp;S_RECORD_CARD'!$E$69:$E$71</c:f>
              <c:numCache>
                <c:formatCode>0.0%</c:formatCode>
                <c:ptCount val="3"/>
                <c:pt idx="0">
                  <c:v>0</c:v>
                </c:pt>
                <c:pt idx="1">
                  <c:v>0</c:v>
                </c:pt>
                <c:pt idx="2">
                  <c:v>0</c:v>
                </c:pt>
              </c:numCache>
            </c:numRef>
          </c:val>
        </c:ser>
      </c:pie3DChart>
    </c:plotArea>
    <c:legend>
      <c:legendPos val="b"/>
      <c:layout>
        <c:manualLayout>
          <c:xMode val="edge"/>
          <c:yMode val="edge"/>
          <c:x val="0"/>
          <c:y val="0.8649755675030214"/>
          <c:w val="1"/>
          <c:h val="0.13493482679555638"/>
        </c:manualLayout>
      </c:layout>
      <c:txPr>
        <a:bodyPr/>
        <a:lstStyle/>
        <a:p>
          <a:pPr rtl="0">
            <a:defRPr sz="900"/>
          </a:pPr>
          <a:endParaRPr lang="en-US"/>
        </a:p>
      </c:txPr>
    </c:legend>
    <c:plotVisOnly val="1"/>
  </c:chart>
  <c:spPr>
    <a:noFill/>
    <a:ln>
      <a:noFill/>
    </a:ln>
    <a:effectLst>
      <a:outerShdw blurRad="50800" dist="38100" dir="2700000" algn="tl" rotWithShape="0">
        <a:prstClr val="black">
          <a:alpha val="40000"/>
        </a:prstClr>
      </a:outerShdw>
    </a:effectLst>
    <a:scene3d>
      <a:camera prst="orthographicFront"/>
      <a:lightRig rig="threePt" dir="t"/>
    </a:scene3d>
    <a:sp3d prstMaterial="softEdge">
      <a:bevelB w="165100" prst="coolSlant"/>
    </a:sp3d>
  </c:spPr>
  <c:printSettings>
    <c:headerFooter/>
    <c:pageMargins b="0.75000000000000444" l="0.70000000000000062" r="0.70000000000000062" t="0.75000000000000444"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chart>
    <c:view3D>
      <c:rotX val="20"/>
      <c:rotY val="180"/>
      <c:depthPercent val="100"/>
      <c:perspective val="30"/>
    </c:view3D>
    <c:floor>
      <c:spPr>
        <a:noFill/>
        <a:ln>
          <a:noFill/>
        </a:ln>
        <a:scene3d>
          <a:camera prst="orthographicFront"/>
          <a:lightRig rig="threePt" dir="t"/>
        </a:scene3d>
        <a:sp3d prstMaterial="flat"/>
      </c:spPr>
    </c:floor>
    <c:sideWall>
      <c:spPr>
        <a:noFill/>
        <a:ln>
          <a:noFill/>
        </a:ln>
      </c:spPr>
    </c:sideWall>
    <c:backWall>
      <c:spPr>
        <a:noFill/>
        <a:ln>
          <a:noFill/>
        </a:ln>
      </c:spPr>
    </c:backWall>
    <c:plotArea>
      <c:layout>
        <c:manualLayout>
          <c:layoutTarget val="inner"/>
          <c:xMode val="edge"/>
          <c:yMode val="edge"/>
          <c:x val="0.12882785993214263"/>
          <c:y val="0.14503834937510532"/>
          <c:w val="0.74163385552702965"/>
          <c:h val="0.65121548194551515"/>
        </c:manualLayout>
      </c:layout>
      <c:bar3DChart>
        <c:barDir val="col"/>
        <c:grouping val="stacked"/>
        <c:ser>
          <c:idx val="0"/>
          <c:order val="0"/>
          <c:tx>
            <c:strRef>
              <c:f>'E&amp;S_RECORD_CARD'!$B$80</c:f>
              <c:strCache>
                <c:ptCount val="1"/>
                <c:pt idx="0">
                  <c:v>Net Utility</c:v>
                </c:pt>
              </c:strCache>
            </c:strRef>
          </c:tx>
          <c:spPr>
            <a:solidFill>
              <a:srgbClr val="0B14C5">
                <a:alpha val="73000"/>
              </a:srgbClr>
            </a:solidFill>
            <a:ln>
              <a:solidFill>
                <a:srgbClr val="7982AF"/>
              </a:solidFill>
            </a:ln>
            <a:effectLst>
              <a:outerShdw blurRad="152400" dist="317500" dir="5400000" sx="90000" sy="-19000" rotWithShape="0">
                <a:prstClr val="black">
                  <a:alpha val="18000"/>
                </a:prstClr>
              </a:outerShdw>
            </a:effectLst>
            <a:scene3d>
              <a:camera prst="orthographicFront"/>
              <a:lightRig rig="threePt" dir="t"/>
            </a:scene3d>
            <a:sp3d prstMaterial="metal">
              <a:bevelT w="0" h="0"/>
              <a:contourClr>
                <a:srgbClr val="000000"/>
              </a:contourClr>
            </a:sp3d>
          </c:spPr>
          <c:dLbls>
            <c:dLbl>
              <c:idx val="0"/>
              <c:layout>
                <c:manualLayout>
                  <c:x val="-0.34577279283594192"/>
                  <c:y val="9.8993466597038102E-2"/>
                </c:manualLayout>
              </c:layout>
              <c:showVal val="1"/>
            </c:dLbl>
            <c:txPr>
              <a:bodyPr/>
              <a:lstStyle/>
              <a:p>
                <a:pPr>
                  <a:defRPr sz="700"/>
                </a:pPr>
                <a:endParaRPr lang="en-US"/>
              </a:p>
            </c:txPr>
            <c:showVal val="1"/>
          </c:dLbls>
          <c:val>
            <c:numRef>
              <c:f>'E&amp;S_RECORD_CARD'!$E$80</c:f>
              <c:numCache>
                <c:formatCode>0.0%</c:formatCode>
                <c:ptCount val="1"/>
                <c:pt idx="0">
                  <c:v>0.66666666666666663</c:v>
                </c:pt>
              </c:numCache>
            </c:numRef>
          </c:val>
        </c:ser>
        <c:ser>
          <c:idx val="1"/>
          <c:order val="1"/>
          <c:tx>
            <c:strRef>
              <c:f>'E&amp;S_RECORD_CARD'!$B$81</c:f>
              <c:strCache>
                <c:ptCount val="1"/>
                <c:pt idx="0">
                  <c:v>Harvested On-Site</c:v>
                </c:pt>
              </c:strCache>
            </c:strRef>
          </c:tx>
          <c:spPr>
            <a:solidFill>
              <a:srgbClr val="7982AF">
                <a:alpha val="45000"/>
              </a:srgbClr>
            </a:solidFill>
            <a:ln w="3175">
              <a:solidFill>
                <a:srgbClr val="7982AF"/>
              </a:solidFill>
            </a:ln>
            <a:effectLst/>
            <a:scene3d>
              <a:camera prst="orthographicFront"/>
              <a:lightRig rig="threePt" dir="t"/>
            </a:scene3d>
            <a:sp3d prstMaterial="metal">
              <a:bevelT w="12700"/>
              <a:contourClr>
                <a:srgbClr val="000000"/>
              </a:contourClr>
            </a:sp3d>
          </c:spPr>
          <c:dLbls>
            <c:dLbl>
              <c:idx val="0"/>
              <c:layout>
                <c:manualLayout>
                  <c:x val="-0.35363261547943248"/>
                  <c:y val="8.0354264325230268E-2"/>
                </c:manualLayout>
              </c:layout>
              <c:showVal val="1"/>
            </c:dLbl>
            <c:txPr>
              <a:bodyPr/>
              <a:lstStyle/>
              <a:p>
                <a:pPr>
                  <a:defRPr sz="700"/>
                </a:pPr>
                <a:endParaRPr lang="en-US"/>
              </a:p>
            </c:txPr>
            <c:showVal val="1"/>
          </c:dLbls>
          <c:val>
            <c:numRef>
              <c:f>'E&amp;S_RECORD_CARD'!$E$81</c:f>
              <c:numCache>
                <c:formatCode>0.0%</c:formatCode>
                <c:ptCount val="1"/>
                <c:pt idx="0">
                  <c:v>0</c:v>
                </c:pt>
              </c:numCache>
            </c:numRef>
          </c:val>
        </c:ser>
        <c:ser>
          <c:idx val="2"/>
          <c:order val="2"/>
          <c:tx>
            <c:strRef>
              <c:f>'E&amp;S_RECORD_CARD'!$B$82</c:f>
              <c:strCache>
                <c:ptCount val="1"/>
                <c:pt idx="0">
                  <c:v>Use Reduction</c:v>
                </c:pt>
              </c:strCache>
            </c:strRef>
          </c:tx>
          <c:spPr>
            <a:noFill/>
            <a:ln>
              <a:solidFill>
                <a:srgbClr val="B1B2B9"/>
              </a:solidFill>
            </a:ln>
            <a:effectLst/>
            <a:scene3d>
              <a:camera prst="orthographicFront"/>
              <a:lightRig rig="threePt" dir="t"/>
            </a:scene3d>
            <a:sp3d prstMaterial="legacyWireframe">
              <a:contourClr>
                <a:srgbClr val="000000"/>
              </a:contourClr>
            </a:sp3d>
          </c:spPr>
          <c:dLbls>
            <c:dLbl>
              <c:idx val="0"/>
              <c:layout>
                <c:manualLayout>
                  <c:x val="-0.36148810661934366"/>
                  <c:y val="6.7294668524818829E-2"/>
                </c:manualLayout>
              </c:layout>
              <c:showVal val="1"/>
            </c:dLbl>
            <c:txPr>
              <a:bodyPr/>
              <a:lstStyle/>
              <a:p>
                <a:pPr>
                  <a:defRPr sz="700"/>
                </a:pPr>
                <a:endParaRPr lang="en-US"/>
              </a:p>
            </c:txPr>
            <c:showVal val="1"/>
          </c:dLbls>
          <c:val>
            <c:numRef>
              <c:f>'E&amp;S_RECORD_CARD'!$E$82</c:f>
              <c:numCache>
                <c:formatCode>0.0%</c:formatCode>
                <c:ptCount val="1"/>
                <c:pt idx="0">
                  <c:v>0.33333333333333331</c:v>
                </c:pt>
              </c:numCache>
            </c:numRef>
          </c:val>
        </c:ser>
        <c:gapWidth val="0"/>
        <c:gapDepth val="37"/>
        <c:shape val="cylinder"/>
        <c:axId val="204145792"/>
        <c:axId val="204147328"/>
        <c:axId val="0"/>
      </c:bar3DChart>
      <c:catAx>
        <c:axId val="204145792"/>
        <c:scaling>
          <c:orientation val="minMax"/>
        </c:scaling>
        <c:axPos val="b"/>
        <c:tickLblPos val="nextTo"/>
        <c:spPr>
          <a:noFill/>
          <a:ln>
            <a:noFill/>
          </a:ln>
        </c:spPr>
        <c:txPr>
          <a:bodyPr/>
          <a:lstStyle/>
          <a:p>
            <a:pPr>
              <a:defRPr>
                <a:solidFill>
                  <a:schemeClr val="bg1"/>
                </a:solidFill>
              </a:defRPr>
            </a:pPr>
            <a:endParaRPr lang="en-US"/>
          </a:p>
        </c:txPr>
        <c:crossAx val="204147328"/>
        <c:crosses val="autoZero"/>
        <c:auto val="1"/>
        <c:lblAlgn val="ctr"/>
        <c:lblOffset val="100"/>
      </c:catAx>
      <c:valAx>
        <c:axId val="204147328"/>
        <c:scaling>
          <c:orientation val="minMax"/>
        </c:scaling>
        <c:axPos val="r"/>
        <c:majorGridlines>
          <c:spPr>
            <a:ln w="3175">
              <a:solidFill>
                <a:schemeClr val="bg1"/>
              </a:solidFill>
            </a:ln>
          </c:spPr>
        </c:majorGridlines>
        <c:numFmt formatCode="0.0%" sourceLinked="1"/>
        <c:tickLblPos val="nextTo"/>
        <c:spPr>
          <a:noFill/>
          <a:ln>
            <a:noFill/>
          </a:ln>
        </c:spPr>
        <c:txPr>
          <a:bodyPr/>
          <a:lstStyle/>
          <a:p>
            <a:pPr>
              <a:defRPr>
                <a:solidFill>
                  <a:schemeClr val="bg1"/>
                </a:solidFill>
              </a:defRPr>
            </a:pPr>
            <a:endParaRPr lang="en-US"/>
          </a:p>
        </c:txPr>
        <c:crossAx val="204145792"/>
        <c:crosses val="autoZero"/>
        <c:crossBetween val="between"/>
      </c:valAx>
      <c:spPr>
        <a:noFill/>
        <a:ln>
          <a:noFill/>
        </a:ln>
      </c:spPr>
    </c:plotArea>
    <c:legend>
      <c:legendPos val="l"/>
      <c:layout>
        <c:manualLayout>
          <c:xMode val="edge"/>
          <c:yMode val="edge"/>
          <c:x val="0.19336574535585468"/>
          <c:y val="0.76916528386775807"/>
          <c:w val="0.67030451088971121"/>
          <c:h val="0.22821673835543019"/>
        </c:manualLayout>
      </c:layout>
      <c:spPr>
        <a:noFill/>
        <a:ln>
          <a:noFill/>
        </a:ln>
        <a:effectLst/>
      </c:spPr>
      <c:txPr>
        <a:bodyPr/>
        <a:lstStyle/>
        <a:p>
          <a:pPr>
            <a:defRPr sz="900"/>
          </a:pPr>
          <a:endParaRPr lang="en-US"/>
        </a:p>
      </c:txPr>
    </c:legend>
    <c:plotVisOnly val="1"/>
  </c:chart>
  <c:spPr>
    <a:noFill/>
    <a:ln>
      <a:noFill/>
    </a:ln>
    <a:effectLst>
      <a:outerShdw blurRad="50800" dist="38100" dir="2700000" algn="tl" rotWithShape="0">
        <a:prstClr val="black">
          <a:alpha val="40000"/>
        </a:prstClr>
      </a:outerShdw>
    </a:effectLst>
    <a:scene3d>
      <a:camera prst="orthographicFront"/>
      <a:lightRig rig="threePt" dir="t"/>
    </a:scene3d>
    <a:sp3d prstMaterial="softEdge">
      <a:bevelB w="165100" prst="coolSlant"/>
    </a:sp3d>
  </c:spPr>
  <c:printSettings>
    <c:headerFooter/>
    <c:pageMargins b="0.75000000000000466" l="0.70000000000000062" r="0.70000000000000062" t="0.750000000000004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chart>
    <c:view3D>
      <c:rotX val="20"/>
      <c:hPercent val="50"/>
      <c:depthPercent val="100"/>
      <c:perspective val="30"/>
    </c:view3D>
    <c:floor>
      <c:spPr>
        <a:noFill/>
        <a:ln>
          <a:noFill/>
        </a:ln>
        <a:scene3d>
          <a:camera prst="orthographicFront"/>
          <a:lightRig rig="threePt" dir="t"/>
        </a:scene3d>
        <a:sp3d prstMaterial="flat"/>
      </c:spPr>
    </c:floor>
    <c:sideWall>
      <c:spPr>
        <a:noFill/>
        <a:ln>
          <a:noFill/>
        </a:ln>
      </c:spPr>
    </c:sideWall>
    <c:backWall>
      <c:spPr>
        <a:noFill/>
        <a:ln>
          <a:noFill/>
        </a:ln>
      </c:spPr>
    </c:backWall>
    <c:plotArea>
      <c:layout>
        <c:manualLayout>
          <c:layoutTarget val="inner"/>
          <c:xMode val="edge"/>
          <c:yMode val="edge"/>
          <c:x val="6.7485147389067343E-2"/>
          <c:y val="0.10573029807685413"/>
          <c:w val="0.83563119598382984"/>
          <c:h val="0.74947494842185824"/>
        </c:manualLayout>
      </c:layout>
      <c:bar3DChart>
        <c:barDir val="col"/>
        <c:grouping val="clustered"/>
        <c:ser>
          <c:idx val="2"/>
          <c:order val="0"/>
          <c:tx>
            <c:strRef>
              <c:f>'E&amp;S_RECORD_CARD'!$B$92</c:f>
              <c:strCache>
                <c:ptCount val="1"/>
                <c:pt idx="0">
                  <c:v>Avoided</c:v>
                </c:pt>
              </c:strCache>
            </c:strRef>
          </c:tx>
          <c:spPr>
            <a:noFill/>
            <a:ln>
              <a:solidFill>
                <a:srgbClr val="B1B2B9"/>
              </a:solidFill>
            </a:ln>
            <a:effectLst/>
            <a:scene3d>
              <a:camera prst="orthographicFront"/>
              <a:lightRig rig="threePt" dir="t"/>
            </a:scene3d>
            <a:sp3d prstMaterial="legacyWireframe">
              <a:contourClr>
                <a:srgbClr val="000000"/>
              </a:contourClr>
            </a:sp3d>
          </c:spPr>
          <c:dLbls>
            <c:dLbl>
              <c:idx val="0"/>
              <c:layout>
                <c:manualLayout>
                  <c:x val="4.8352710423832934E-3"/>
                  <c:y val="0.1313916467615725"/>
                </c:manualLayout>
              </c:layout>
              <c:spPr/>
              <c:txPr>
                <a:bodyPr/>
                <a:lstStyle/>
                <a:p>
                  <a:pPr>
                    <a:defRPr sz="700"/>
                  </a:pPr>
                  <a:endParaRPr lang="en-US"/>
                </a:p>
              </c:txPr>
              <c:showVal val="1"/>
            </c:dLbl>
            <c:txPr>
              <a:bodyPr/>
              <a:lstStyle/>
              <a:p>
                <a:pPr>
                  <a:defRPr sz="800"/>
                </a:pPr>
                <a:endParaRPr lang="en-US"/>
              </a:p>
            </c:txPr>
            <c:showVal val="1"/>
          </c:dLbls>
          <c:val>
            <c:numRef>
              <c:f>'E&amp;S_RECORD_CARD'!$E$92</c:f>
              <c:numCache>
                <c:formatCode>0.0%</c:formatCode>
                <c:ptCount val="1"/>
                <c:pt idx="0">
                  <c:v>0</c:v>
                </c:pt>
              </c:numCache>
            </c:numRef>
          </c:val>
        </c:ser>
        <c:ser>
          <c:idx val="1"/>
          <c:order val="1"/>
          <c:tx>
            <c:strRef>
              <c:f>'E&amp;S_RECORD_CARD'!$B$91</c:f>
              <c:strCache>
                <c:ptCount val="1"/>
                <c:pt idx="0">
                  <c:v>Diverted</c:v>
                </c:pt>
              </c:strCache>
            </c:strRef>
          </c:tx>
          <c:spPr>
            <a:blipFill>
              <a:blip xmlns:r="http://schemas.openxmlformats.org/officeDocument/2006/relationships" r:embed="rId1"/>
              <a:tile tx="0" ty="0" sx="100000" sy="100000" flip="none" algn="tl"/>
            </a:blipFill>
            <a:ln w="3175">
              <a:solidFill>
                <a:schemeClr val="accent3">
                  <a:lumMod val="50000"/>
                </a:schemeClr>
              </a:solidFill>
            </a:ln>
            <a:effectLst/>
            <a:scene3d>
              <a:camera prst="orthographicFront"/>
              <a:lightRig rig="threePt" dir="t"/>
            </a:scene3d>
            <a:sp3d prstMaterial="metal">
              <a:bevelT w="12700"/>
              <a:contourClr>
                <a:srgbClr val="000000"/>
              </a:contourClr>
            </a:sp3d>
          </c:spPr>
          <c:dLbls>
            <c:dLbl>
              <c:idx val="0"/>
              <c:layout>
                <c:manualLayout>
                  <c:x val="4.8853008897354186E-3"/>
                  <c:y val="0.19045029288556453"/>
                </c:manualLayout>
              </c:layout>
              <c:tx>
                <c:rich>
                  <a:bodyPr/>
                  <a:lstStyle/>
                  <a:p>
                    <a:r>
                      <a:rPr lang="en-US" sz="700"/>
                      <a:t>25.0%</a:t>
                    </a:r>
                  </a:p>
                </c:rich>
              </c:tx>
              <c:showVal val="1"/>
            </c:dLbl>
            <c:txPr>
              <a:bodyPr/>
              <a:lstStyle/>
              <a:p>
                <a:pPr>
                  <a:defRPr sz="700"/>
                </a:pPr>
                <a:endParaRPr lang="en-US"/>
              </a:p>
            </c:txPr>
            <c:showVal val="1"/>
          </c:dLbls>
          <c:val>
            <c:numRef>
              <c:f>'E&amp;S_RECORD_CARD'!$E$91</c:f>
              <c:numCache>
                <c:formatCode>0.0%</c:formatCode>
                <c:ptCount val="1"/>
                <c:pt idx="0">
                  <c:v>0</c:v>
                </c:pt>
              </c:numCache>
            </c:numRef>
          </c:val>
        </c:ser>
        <c:ser>
          <c:idx val="0"/>
          <c:order val="2"/>
          <c:tx>
            <c:strRef>
              <c:f>'E&amp;S_RECORD_CARD'!$B$90</c:f>
              <c:strCache>
                <c:ptCount val="1"/>
                <c:pt idx="0">
                  <c:v>Disposed</c:v>
                </c:pt>
              </c:strCache>
            </c:strRef>
          </c:tx>
          <c:spPr>
            <a:blipFill>
              <a:blip xmlns:r="http://schemas.openxmlformats.org/officeDocument/2006/relationships" r:embed="rId2"/>
              <a:tile tx="0" ty="0" sx="100000" sy="100000" flip="none" algn="tl"/>
            </a:blipFill>
            <a:ln>
              <a:solidFill>
                <a:schemeClr val="bg2">
                  <a:lumMod val="25000"/>
                </a:schemeClr>
              </a:solidFill>
            </a:ln>
            <a:effectLst>
              <a:outerShdw blurRad="152400" dist="317500" dir="5400000" sx="90000" sy="-19000" rotWithShape="0">
                <a:prstClr val="black">
                  <a:alpha val="18000"/>
                </a:prstClr>
              </a:outerShdw>
            </a:effectLst>
            <a:scene3d>
              <a:camera prst="orthographicFront"/>
              <a:lightRig rig="threePt" dir="t"/>
            </a:scene3d>
            <a:sp3d prstMaterial="metal">
              <a:bevelT w="0" h="0"/>
              <a:contourClr>
                <a:srgbClr val="000000"/>
              </a:contourClr>
            </a:sp3d>
          </c:spPr>
          <c:dLbls>
            <c:dLbl>
              <c:idx val="0"/>
              <c:layout>
                <c:manualLayout>
                  <c:x val="-1.8175616134625109E-3"/>
                  <c:y val="0.32812504828208583"/>
                </c:manualLayout>
              </c:layout>
              <c:spPr/>
              <c:txPr>
                <a:bodyPr/>
                <a:lstStyle/>
                <a:p>
                  <a:pPr>
                    <a:defRPr sz="700"/>
                  </a:pPr>
                  <a:endParaRPr lang="en-US"/>
                </a:p>
              </c:txPr>
              <c:showVal val="1"/>
            </c:dLbl>
            <c:showVal val="1"/>
          </c:dLbls>
          <c:val>
            <c:numRef>
              <c:f>'E&amp;S_RECORD_CARD'!$E$90</c:f>
              <c:numCache>
                <c:formatCode>0.0%</c:formatCode>
                <c:ptCount val="1"/>
                <c:pt idx="0">
                  <c:v>0</c:v>
                </c:pt>
              </c:numCache>
            </c:numRef>
          </c:val>
        </c:ser>
        <c:gapWidth val="0"/>
        <c:gapDepth val="37"/>
        <c:shape val="box"/>
        <c:axId val="241206400"/>
        <c:axId val="241207936"/>
        <c:axId val="0"/>
      </c:bar3DChart>
      <c:catAx>
        <c:axId val="241206400"/>
        <c:scaling>
          <c:orientation val="minMax"/>
        </c:scaling>
        <c:axPos val="b"/>
        <c:tickLblPos val="nextTo"/>
        <c:spPr>
          <a:noFill/>
          <a:ln>
            <a:noFill/>
          </a:ln>
        </c:spPr>
        <c:txPr>
          <a:bodyPr/>
          <a:lstStyle/>
          <a:p>
            <a:pPr>
              <a:defRPr>
                <a:solidFill>
                  <a:schemeClr val="bg1"/>
                </a:solidFill>
              </a:defRPr>
            </a:pPr>
            <a:endParaRPr lang="en-US"/>
          </a:p>
        </c:txPr>
        <c:crossAx val="241207936"/>
        <c:crosses val="autoZero"/>
        <c:auto val="1"/>
        <c:lblAlgn val="ctr"/>
        <c:lblOffset val="100"/>
      </c:catAx>
      <c:valAx>
        <c:axId val="241207936"/>
        <c:scaling>
          <c:orientation val="minMax"/>
        </c:scaling>
        <c:axPos val="l"/>
        <c:majorGridlines>
          <c:spPr>
            <a:ln w="0">
              <a:solidFill>
                <a:schemeClr val="bg1"/>
              </a:solidFill>
            </a:ln>
          </c:spPr>
        </c:majorGridlines>
        <c:numFmt formatCode="0.0%" sourceLinked="1"/>
        <c:majorTickMark val="none"/>
        <c:tickLblPos val="none"/>
        <c:spPr>
          <a:noFill/>
          <a:ln>
            <a:noFill/>
          </a:ln>
        </c:spPr>
        <c:txPr>
          <a:bodyPr/>
          <a:lstStyle/>
          <a:p>
            <a:pPr>
              <a:defRPr>
                <a:solidFill>
                  <a:schemeClr val="bg1"/>
                </a:solidFill>
              </a:defRPr>
            </a:pPr>
            <a:endParaRPr lang="en-US"/>
          </a:p>
        </c:txPr>
        <c:crossAx val="241206400"/>
        <c:crosses val="autoZero"/>
        <c:crossBetween val="between"/>
      </c:valAx>
      <c:spPr>
        <a:noFill/>
        <a:ln>
          <a:noFill/>
        </a:ln>
      </c:spPr>
    </c:plotArea>
    <c:legend>
      <c:legendPos val="l"/>
      <c:layout>
        <c:manualLayout>
          <c:xMode val="edge"/>
          <c:yMode val="edge"/>
          <c:x val="0"/>
          <c:y val="0.87381509326296269"/>
          <c:w val="0.99735865146820568"/>
          <c:h val="0.1261849067370375"/>
        </c:manualLayout>
      </c:layout>
      <c:spPr>
        <a:noFill/>
        <a:ln>
          <a:noFill/>
        </a:ln>
        <a:effectLst/>
      </c:spPr>
      <c:txPr>
        <a:bodyPr/>
        <a:lstStyle/>
        <a:p>
          <a:pPr>
            <a:defRPr sz="900"/>
          </a:pPr>
          <a:endParaRPr lang="en-US"/>
        </a:p>
      </c:txPr>
    </c:legend>
    <c:plotVisOnly val="1"/>
  </c:chart>
  <c:spPr>
    <a:noFill/>
    <a:ln>
      <a:noFill/>
    </a:ln>
    <a:effectLst>
      <a:outerShdw blurRad="50800" dist="38100" dir="2700000" algn="tl" rotWithShape="0">
        <a:prstClr val="black">
          <a:alpha val="40000"/>
        </a:prstClr>
      </a:outerShdw>
    </a:effectLst>
    <a:scene3d>
      <a:camera prst="orthographicFront"/>
      <a:lightRig rig="threePt" dir="t"/>
    </a:scene3d>
    <a:sp3d prstMaterial="matte"/>
  </c:spPr>
  <c:printSettings>
    <c:headerFooter/>
    <c:pageMargins b="0.75000000000000488" l="0.70000000000000062" r="0.70000000000000062" t="0.75000000000000488" header="0.30000000000000032" footer="0.30000000000000032"/>
    <c:pageSetup/>
  </c:printSettings>
  <c:userShapes r:id="rId3"/>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gif"/></Relationships>
</file>

<file path=xl/drawings/drawing1.xml><?xml version="1.0" encoding="utf-8"?>
<xdr:wsDr xmlns:xdr="http://schemas.openxmlformats.org/drawingml/2006/spreadsheetDrawing" xmlns:a="http://schemas.openxmlformats.org/drawingml/2006/main">
  <xdr:twoCellAnchor>
    <xdr:from>
      <xdr:col>4</xdr:col>
      <xdr:colOff>57493</xdr:colOff>
      <xdr:row>9</xdr:row>
      <xdr:rowOff>9524</xdr:rowOff>
    </xdr:from>
    <xdr:to>
      <xdr:col>6</xdr:col>
      <xdr:colOff>749742</xdr:colOff>
      <xdr:row>18</xdr:row>
      <xdr:rowOff>172729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539758</xdr:colOff>
      <xdr:row>9</xdr:row>
      <xdr:rowOff>9319</xdr:rowOff>
    </xdr:from>
    <xdr:to>
      <xdr:col>9</xdr:col>
      <xdr:colOff>12700</xdr:colOff>
      <xdr:row>18</xdr:row>
      <xdr:rowOff>198433</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66517</xdr:colOff>
      <xdr:row>12</xdr:row>
      <xdr:rowOff>84416</xdr:rowOff>
    </xdr:from>
    <xdr:to>
      <xdr:col>7</xdr:col>
      <xdr:colOff>298608</xdr:colOff>
      <xdr:row>13</xdr:row>
      <xdr:rowOff>98148</xdr:rowOff>
    </xdr:to>
    <xdr:sp macro="" textlink="">
      <xdr:nvSpPr>
        <xdr:cNvPr id="5" name="5-Point Star 4"/>
        <xdr:cNvSpPr/>
      </xdr:nvSpPr>
      <xdr:spPr bwMode="auto">
        <a:xfrm rot="728952">
          <a:off x="4852830" y="2354541"/>
          <a:ext cx="232091" cy="204232"/>
        </a:xfrm>
        <a:prstGeom prst="star5">
          <a:avLst>
            <a:gd name="adj" fmla="val 8265"/>
            <a:gd name="hf" fmla="val 105146"/>
            <a:gd name="vf" fmla="val 110557"/>
          </a:avLst>
        </a:prstGeom>
        <a:gradFill flip="none" rotWithShape="1">
          <a:gsLst>
            <a:gs pos="10000">
              <a:schemeClr val="bg1">
                <a:lumMod val="95000"/>
                <a:alpha val="94000"/>
              </a:schemeClr>
            </a:gs>
            <a:gs pos="26000">
              <a:srgbClr val="D4DEFF">
                <a:alpha val="49000"/>
              </a:srgbClr>
            </a:gs>
            <a:gs pos="83000">
              <a:srgbClr val="D4DEFF">
                <a:alpha val="18000"/>
              </a:srgbClr>
            </a:gs>
            <a:gs pos="99000">
              <a:srgbClr val="96AB94">
                <a:alpha val="0"/>
              </a:srgbClr>
            </a:gs>
          </a:gsLst>
          <a:path path="circle">
            <a:fillToRect l="50000" t="50000" r="50000" b="50000"/>
          </a:path>
          <a:tileRect/>
        </a:gra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oneCellAnchor>
    <xdr:from>
      <xdr:col>3</xdr:col>
      <xdr:colOff>133676</xdr:colOff>
      <xdr:row>15</xdr:row>
      <xdr:rowOff>158749</xdr:rowOff>
    </xdr:from>
    <xdr:ext cx="732380" cy="826701"/>
    <xdr:sp macro="" textlink="">
      <xdr:nvSpPr>
        <xdr:cNvPr id="8" name="TextBox 7"/>
        <xdr:cNvSpPr txBox="1"/>
      </xdr:nvSpPr>
      <xdr:spPr>
        <a:xfrm>
          <a:off x="1511138" y="3162787"/>
          <a:ext cx="732380" cy="8267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spcBef>
              <a:spcPts val="300"/>
            </a:spcBef>
          </a:pPr>
          <a:r>
            <a:rPr lang="en-US" sz="1000"/>
            <a:t>85%-100%</a:t>
          </a:r>
        </a:p>
        <a:p>
          <a:pPr algn="ctr">
            <a:spcBef>
              <a:spcPts val="300"/>
            </a:spcBef>
          </a:pPr>
          <a:r>
            <a:rPr lang="en-US" sz="1000"/>
            <a:t>70%-85%</a:t>
          </a:r>
        </a:p>
        <a:p>
          <a:pPr algn="ctr">
            <a:spcBef>
              <a:spcPts val="300"/>
            </a:spcBef>
          </a:pPr>
          <a:r>
            <a:rPr lang="en-US" sz="1000"/>
            <a:t>&lt; 80%</a:t>
          </a:r>
        </a:p>
        <a:p>
          <a:pPr algn="ctr"/>
          <a:endParaRPr lang="en-US" sz="1200"/>
        </a:p>
      </xdr:txBody>
    </xdr:sp>
    <xdr:clientData/>
  </xdr:oneCellAnchor>
  <xdr:twoCellAnchor>
    <xdr:from>
      <xdr:col>2</xdr:col>
      <xdr:colOff>198438</xdr:colOff>
      <xdr:row>10</xdr:row>
      <xdr:rowOff>87312</xdr:rowOff>
    </xdr:from>
    <xdr:to>
      <xdr:col>2</xdr:col>
      <xdr:colOff>420688</xdr:colOff>
      <xdr:row>18</xdr:row>
      <xdr:rowOff>134936</xdr:rowOff>
    </xdr:to>
    <xdr:sp macro="" textlink="">
      <xdr:nvSpPr>
        <xdr:cNvPr id="10" name="Right Brace 9"/>
        <xdr:cNvSpPr/>
      </xdr:nvSpPr>
      <xdr:spPr bwMode="auto">
        <a:xfrm>
          <a:off x="2841626" y="2547937"/>
          <a:ext cx="222250" cy="1579562"/>
        </a:xfrm>
        <a:prstGeom prst="rightBrace">
          <a:avLst>
            <a:gd name="adj1" fmla="val 46795"/>
            <a:gd name="adj2" fmla="val 6256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1</xdr:col>
      <xdr:colOff>174627</xdr:colOff>
      <xdr:row>12</xdr:row>
      <xdr:rowOff>182564</xdr:rowOff>
    </xdr:from>
    <xdr:to>
      <xdr:col>1</xdr:col>
      <xdr:colOff>674688</xdr:colOff>
      <xdr:row>18</xdr:row>
      <xdr:rowOff>15876</xdr:rowOff>
    </xdr:to>
    <xdr:sp macro="" textlink="">
      <xdr:nvSpPr>
        <xdr:cNvPr id="9" name="TextBox 8"/>
        <xdr:cNvSpPr txBox="1"/>
      </xdr:nvSpPr>
      <xdr:spPr>
        <a:xfrm>
          <a:off x="1968502" y="2452689"/>
          <a:ext cx="500061" cy="992187"/>
        </a:xfrm>
        <a:prstGeom prst="rect">
          <a:avLst/>
        </a:prstGeom>
        <a:noFill/>
        <a:ln w="0" cmpd="sng">
          <a:noFill/>
        </a:ln>
      </xdr:spPr>
      <xdr:style>
        <a:lnRef idx="0">
          <a:scrgbClr r="0" g="0" b="0"/>
        </a:lnRef>
        <a:fillRef idx="0">
          <a:scrgbClr r="0" g="0" b="0"/>
        </a:fillRef>
        <a:effectRef idx="0">
          <a:scrgbClr r="0" g="0" b="0"/>
        </a:effectRef>
        <a:fontRef idx="minor">
          <a:schemeClr val="dk1"/>
        </a:fontRef>
      </xdr:style>
      <xdr:txBody>
        <a:bodyPr vertOverflow="clip" vert="vert270" wrap="square" lIns="0" tIns="0" rIns="0" bIns="0" rtlCol="0" anchor="ctr" anchorCtr="0"/>
        <a:lstStyle/>
        <a:p>
          <a:pPr algn="ctr"/>
          <a:r>
            <a:rPr lang="en-US" sz="800"/>
            <a:t>High Performance</a:t>
          </a:r>
        </a:p>
        <a:p>
          <a:pPr algn="ctr"/>
          <a:r>
            <a:rPr lang="en-US" sz="800"/>
            <a:t>Sustainable</a:t>
          </a:r>
          <a:r>
            <a:rPr lang="en-US" sz="800" baseline="0"/>
            <a:t> Buildings </a:t>
          </a:r>
          <a:r>
            <a:rPr lang="en-US" sz="1000" b="1" i="1" baseline="0"/>
            <a:t>Guiding Principles</a:t>
          </a:r>
          <a:endParaRPr lang="en-US" sz="800" b="1" i="1"/>
        </a:p>
      </xdr:txBody>
    </xdr:sp>
    <xdr:clientData/>
  </xdr:twoCellAnchor>
  <xdr:twoCellAnchor>
    <xdr:from>
      <xdr:col>8</xdr:col>
      <xdr:colOff>700088</xdr:colOff>
      <xdr:row>9</xdr:row>
      <xdr:rowOff>9524</xdr:rowOff>
    </xdr:from>
    <xdr:to>
      <xdr:col>10</xdr:col>
      <xdr:colOff>754063</xdr:colOff>
      <xdr:row>18</xdr:row>
      <xdr:rowOff>189113</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0.0055</cdr:x>
      <cdr:y>5.256E-7</cdr:y>
    </cdr:from>
    <cdr:to>
      <cdr:x>0.98917</cdr:x>
      <cdr:y>0.15576</cdr:y>
    </cdr:to>
    <cdr:sp macro="" textlink="">
      <cdr:nvSpPr>
        <cdr:cNvPr id="2" name="TextBox 1"/>
        <cdr:cNvSpPr txBox="1"/>
      </cdr:nvSpPr>
      <cdr:spPr>
        <a:xfrm xmlns:a="http://schemas.openxmlformats.org/drawingml/2006/main">
          <a:off x="13185" y="1"/>
          <a:ext cx="2358077" cy="296348"/>
        </a:xfrm>
        <a:prstGeom xmlns:a="http://schemas.openxmlformats.org/drawingml/2006/main" prst="rect">
          <a:avLst/>
        </a:prstGeom>
      </cdr:spPr>
      <cdr:txBody>
        <a:bodyPr xmlns:a="http://schemas.openxmlformats.org/drawingml/2006/main" vertOverflow="clip" wrap="none" rtlCol="0" anchor="t"/>
        <a:lstStyle xmlns:a="http://schemas.openxmlformats.org/drawingml/2006/main"/>
        <a:p xmlns:a="http://schemas.openxmlformats.org/drawingml/2006/main">
          <a:pPr algn="ctr"/>
          <a:r>
            <a:rPr lang="en-US" sz="1100" b="1"/>
            <a:t>Energy Use</a:t>
          </a:r>
          <a:r>
            <a:rPr lang="en-US" sz="1100" b="1" baseline="0"/>
            <a:t> to Baseline</a:t>
          </a:r>
          <a:endParaRPr lang="en-US" sz="1100" b="1"/>
        </a:p>
      </cdr:txBody>
    </cdr:sp>
  </cdr:relSizeAnchor>
</c:userShapes>
</file>

<file path=xl/drawings/drawing3.xml><?xml version="1.0" encoding="utf-8"?>
<c:userShapes xmlns:c="http://schemas.openxmlformats.org/drawingml/2006/chart">
  <cdr:relSizeAnchor xmlns:cdr="http://schemas.openxmlformats.org/drawingml/2006/chartDrawing">
    <cdr:from>
      <cdr:x>0.02157</cdr:x>
      <cdr:y>0</cdr:y>
    </cdr:from>
    <cdr:to>
      <cdr:x>0.97647</cdr:x>
      <cdr:y>0.16449</cdr:y>
    </cdr:to>
    <cdr:sp macro="" textlink="">
      <cdr:nvSpPr>
        <cdr:cNvPr id="2" name="TextBox 1"/>
        <cdr:cNvSpPr txBox="1"/>
      </cdr:nvSpPr>
      <cdr:spPr>
        <a:xfrm xmlns:a="http://schemas.openxmlformats.org/drawingml/2006/main">
          <a:off x="34859" y="0"/>
          <a:ext cx="1543182" cy="304213"/>
        </a:xfrm>
        <a:prstGeom xmlns:a="http://schemas.openxmlformats.org/drawingml/2006/main" prst="rect">
          <a:avLst/>
        </a:prstGeom>
      </cdr:spPr>
      <cdr:txBody>
        <a:bodyPr xmlns:a="http://schemas.openxmlformats.org/drawingml/2006/main" vertOverflow="clip" wrap="none" rtlCol="0" anchor="t"/>
        <a:lstStyle xmlns:a="http://schemas.openxmlformats.org/drawingml/2006/main"/>
        <a:p xmlns:a="http://schemas.openxmlformats.org/drawingml/2006/main">
          <a:pPr algn="ctr"/>
          <a:r>
            <a:rPr lang="en-US" sz="1100" b="1"/>
            <a:t>Water Use</a:t>
          </a:r>
          <a:r>
            <a:rPr lang="en-US" sz="1100" b="1" baseline="0"/>
            <a:t> to Baseline</a:t>
          </a:r>
          <a:endParaRPr lang="en-US" sz="1100" b="1"/>
        </a:p>
      </cdr:txBody>
    </cdr:sp>
  </cdr:relSizeAnchor>
</c:userShapes>
</file>

<file path=xl/drawings/drawing4.xml><?xml version="1.0" encoding="utf-8"?>
<c:userShapes xmlns:c="http://schemas.openxmlformats.org/drawingml/2006/chart">
  <cdr:relSizeAnchor xmlns:cdr="http://schemas.openxmlformats.org/drawingml/2006/chartDrawing">
    <cdr:from>
      <cdr:x>0.02157</cdr:x>
      <cdr:y>0</cdr:y>
    </cdr:from>
    <cdr:to>
      <cdr:x>0.97647</cdr:x>
      <cdr:y>0.1349</cdr:y>
    </cdr:to>
    <cdr:sp macro="" textlink="">
      <cdr:nvSpPr>
        <cdr:cNvPr id="2" name="TextBox 1"/>
        <cdr:cNvSpPr txBox="1"/>
      </cdr:nvSpPr>
      <cdr:spPr>
        <a:xfrm xmlns:a="http://schemas.openxmlformats.org/drawingml/2006/main">
          <a:off x="37941" y="0"/>
          <a:ext cx="1679621" cy="261938"/>
        </a:xfrm>
        <a:prstGeom xmlns:a="http://schemas.openxmlformats.org/drawingml/2006/main" prst="rect">
          <a:avLst/>
        </a:prstGeom>
      </cdr:spPr>
      <cdr:txBody>
        <a:bodyPr xmlns:a="http://schemas.openxmlformats.org/drawingml/2006/main" vertOverflow="clip" wrap="none" rtlCol="0" anchor="t"/>
        <a:lstStyle xmlns:a="http://schemas.openxmlformats.org/drawingml/2006/main"/>
        <a:p xmlns:a="http://schemas.openxmlformats.org/drawingml/2006/main">
          <a:pPr algn="ctr"/>
          <a:r>
            <a:rPr lang="en-US" sz="1100" b="1"/>
            <a:t>Waste Diversion</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2495548</xdr:colOff>
      <xdr:row>18</xdr:row>
      <xdr:rowOff>98425</xdr:rowOff>
    </xdr:from>
    <xdr:to>
      <xdr:col>1</xdr:col>
      <xdr:colOff>2597150</xdr:colOff>
      <xdr:row>19</xdr:row>
      <xdr:rowOff>133350</xdr:rowOff>
    </xdr:to>
    <xdr:sp macro="" textlink="">
      <xdr:nvSpPr>
        <xdr:cNvPr id="3" name="Curved Right Arrow 2"/>
        <xdr:cNvSpPr/>
      </xdr:nvSpPr>
      <xdr:spPr bwMode="auto">
        <a:xfrm>
          <a:off x="3079748" y="1939925"/>
          <a:ext cx="101602" cy="225425"/>
        </a:xfrm>
        <a:prstGeom prst="curvedRightArrow">
          <a:avLst>
            <a:gd name="adj1" fmla="val 33821"/>
            <a:gd name="adj2" fmla="val 86634"/>
            <a:gd name="adj3" fmla="val 64286"/>
          </a:avLst>
        </a:prstGeom>
        <a:solidFill>
          <a:srgbClr val="E1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1</xdr:col>
      <xdr:colOff>2085974</xdr:colOff>
      <xdr:row>44</xdr:row>
      <xdr:rowOff>85725</xdr:rowOff>
    </xdr:from>
    <xdr:to>
      <xdr:col>1</xdr:col>
      <xdr:colOff>2228850</xdr:colOff>
      <xdr:row>45</xdr:row>
      <xdr:rowOff>161925</xdr:rowOff>
    </xdr:to>
    <xdr:sp macro="" textlink="">
      <xdr:nvSpPr>
        <xdr:cNvPr id="8" name="Curved Right Arrow 7"/>
        <xdr:cNvSpPr/>
      </xdr:nvSpPr>
      <xdr:spPr bwMode="auto">
        <a:xfrm flipH="1">
          <a:off x="2333624" y="12061825"/>
          <a:ext cx="142876" cy="279400"/>
        </a:xfrm>
        <a:prstGeom prst="curvedRightArrow">
          <a:avLst>
            <a:gd name="adj1" fmla="val 33821"/>
            <a:gd name="adj2" fmla="val 86634"/>
            <a:gd name="adj3" fmla="val 64286"/>
          </a:avLst>
        </a:prstGeom>
        <a:solidFill>
          <a:srgbClr val="E1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1</xdr:col>
      <xdr:colOff>1431924</xdr:colOff>
      <xdr:row>46</xdr:row>
      <xdr:rowOff>85725</xdr:rowOff>
    </xdr:from>
    <xdr:to>
      <xdr:col>1</xdr:col>
      <xdr:colOff>1574800</xdr:colOff>
      <xdr:row>47</xdr:row>
      <xdr:rowOff>161925</xdr:rowOff>
    </xdr:to>
    <xdr:sp macro="" textlink="">
      <xdr:nvSpPr>
        <xdr:cNvPr id="9" name="Curved Right Arrow 8"/>
        <xdr:cNvSpPr/>
      </xdr:nvSpPr>
      <xdr:spPr bwMode="auto">
        <a:xfrm flipH="1">
          <a:off x="1679574" y="12455525"/>
          <a:ext cx="142876" cy="266700"/>
        </a:xfrm>
        <a:prstGeom prst="curvedRightArrow">
          <a:avLst>
            <a:gd name="adj1" fmla="val 33821"/>
            <a:gd name="adj2" fmla="val 86634"/>
            <a:gd name="adj3" fmla="val 64286"/>
          </a:avLst>
        </a:prstGeom>
        <a:solidFill>
          <a:srgbClr val="E1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1</xdr:col>
      <xdr:colOff>2359024</xdr:colOff>
      <xdr:row>48</xdr:row>
      <xdr:rowOff>85725</xdr:rowOff>
    </xdr:from>
    <xdr:to>
      <xdr:col>1</xdr:col>
      <xdr:colOff>2501900</xdr:colOff>
      <xdr:row>49</xdr:row>
      <xdr:rowOff>161925</xdr:rowOff>
    </xdr:to>
    <xdr:sp macro="" textlink="">
      <xdr:nvSpPr>
        <xdr:cNvPr id="10" name="Curved Right Arrow 9"/>
        <xdr:cNvSpPr/>
      </xdr:nvSpPr>
      <xdr:spPr bwMode="auto">
        <a:xfrm flipH="1">
          <a:off x="2606674" y="12836525"/>
          <a:ext cx="142876" cy="266700"/>
        </a:xfrm>
        <a:prstGeom prst="curvedRightArrow">
          <a:avLst>
            <a:gd name="adj1" fmla="val 33821"/>
            <a:gd name="adj2" fmla="val 86634"/>
            <a:gd name="adj3" fmla="val 64286"/>
          </a:avLst>
        </a:prstGeom>
        <a:solidFill>
          <a:srgbClr val="E1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1</xdr:col>
      <xdr:colOff>2397124</xdr:colOff>
      <xdr:row>52</xdr:row>
      <xdr:rowOff>85725</xdr:rowOff>
    </xdr:from>
    <xdr:to>
      <xdr:col>1</xdr:col>
      <xdr:colOff>2540000</xdr:colOff>
      <xdr:row>53</xdr:row>
      <xdr:rowOff>161925</xdr:rowOff>
    </xdr:to>
    <xdr:sp macro="" textlink="">
      <xdr:nvSpPr>
        <xdr:cNvPr id="12" name="Curved Right Arrow 11"/>
        <xdr:cNvSpPr/>
      </xdr:nvSpPr>
      <xdr:spPr bwMode="auto">
        <a:xfrm flipH="1">
          <a:off x="2644774" y="13598525"/>
          <a:ext cx="142876" cy="266700"/>
        </a:xfrm>
        <a:prstGeom prst="curvedRightArrow">
          <a:avLst>
            <a:gd name="adj1" fmla="val 33821"/>
            <a:gd name="adj2" fmla="val 86634"/>
            <a:gd name="adj3" fmla="val 64286"/>
          </a:avLst>
        </a:prstGeom>
        <a:solidFill>
          <a:srgbClr val="E1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1</xdr:col>
      <xdr:colOff>1520824</xdr:colOff>
      <xdr:row>54</xdr:row>
      <xdr:rowOff>85725</xdr:rowOff>
    </xdr:from>
    <xdr:to>
      <xdr:col>1</xdr:col>
      <xdr:colOff>1663700</xdr:colOff>
      <xdr:row>55</xdr:row>
      <xdr:rowOff>161925</xdr:rowOff>
    </xdr:to>
    <xdr:sp macro="" textlink="">
      <xdr:nvSpPr>
        <xdr:cNvPr id="13" name="Curved Right Arrow 12"/>
        <xdr:cNvSpPr/>
      </xdr:nvSpPr>
      <xdr:spPr bwMode="auto">
        <a:xfrm flipH="1">
          <a:off x="2105024" y="14430375"/>
          <a:ext cx="142876" cy="266700"/>
        </a:xfrm>
        <a:prstGeom prst="curvedRightArrow">
          <a:avLst>
            <a:gd name="adj1" fmla="val 33821"/>
            <a:gd name="adj2" fmla="val 86634"/>
            <a:gd name="adj3" fmla="val 64286"/>
          </a:avLst>
        </a:prstGeom>
        <a:solidFill>
          <a:srgbClr val="E1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1</xdr:col>
      <xdr:colOff>2498724</xdr:colOff>
      <xdr:row>59</xdr:row>
      <xdr:rowOff>73025</xdr:rowOff>
    </xdr:from>
    <xdr:to>
      <xdr:col>2</xdr:col>
      <xdr:colOff>76200</xdr:colOff>
      <xdr:row>60</xdr:row>
      <xdr:rowOff>149225</xdr:rowOff>
    </xdr:to>
    <xdr:sp macro="" textlink="">
      <xdr:nvSpPr>
        <xdr:cNvPr id="14" name="Curved Right Arrow 13"/>
        <xdr:cNvSpPr/>
      </xdr:nvSpPr>
      <xdr:spPr bwMode="auto">
        <a:xfrm flipH="1">
          <a:off x="2746374" y="14957425"/>
          <a:ext cx="142876" cy="266700"/>
        </a:xfrm>
        <a:prstGeom prst="curvedRightArrow">
          <a:avLst>
            <a:gd name="adj1" fmla="val 33821"/>
            <a:gd name="adj2" fmla="val 86634"/>
            <a:gd name="adj3" fmla="val 64286"/>
          </a:avLst>
        </a:prstGeom>
        <a:solidFill>
          <a:srgbClr val="E1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1</xdr:col>
      <xdr:colOff>2492374</xdr:colOff>
      <xdr:row>50</xdr:row>
      <xdr:rowOff>85725</xdr:rowOff>
    </xdr:from>
    <xdr:to>
      <xdr:col>2</xdr:col>
      <xdr:colOff>69850</xdr:colOff>
      <xdr:row>51</xdr:row>
      <xdr:rowOff>161925</xdr:rowOff>
    </xdr:to>
    <xdr:sp macro="" textlink="">
      <xdr:nvSpPr>
        <xdr:cNvPr id="16" name="Curved Right Arrow 15"/>
        <xdr:cNvSpPr/>
      </xdr:nvSpPr>
      <xdr:spPr bwMode="auto">
        <a:xfrm flipH="1">
          <a:off x="2740024" y="13217525"/>
          <a:ext cx="142876" cy="266700"/>
        </a:xfrm>
        <a:prstGeom prst="curvedRightArrow">
          <a:avLst>
            <a:gd name="adj1" fmla="val 33821"/>
            <a:gd name="adj2" fmla="val 86634"/>
            <a:gd name="adj3" fmla="val 64286"/>
          </a:avLst>
        </a:prstGeom>
        <a:solidFill>
          <a:srgbClr val="E1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247650</xdr:colOff>
      <xdr:row>0</xdr:row>
      <xdr:rowOff>123825</xdr:rowOff>
    </xdr:from>
    <xdr:to>
      <xdr:col>0</xdr:col>
      <xdr:colOff>1209675</xdr:colOff>
      <xdr:row>2</xdr:row>
      <xdr:rowOff>180975</xdr:rowOff>
    </xdr:to>
    <xdr:pic>
      <xdr:nvPicPr>
        <xdr:cNvPr id="2" name="Picture 1" descr="usaceTraditionalRed"/>
        <xdr:cNvPicPr>
          <a:picLocks noChangeAspect="1" noChangeArrowheads="1"/>
        </xdr:cNvPicPr>
      </xdr:nvPicPr>
      <xdr:blipFill>
        <a:blip xmlns:r="http://schemas.openxmlformats.org/officeDocument/2006/relationships" r:embed="rId1" cstate="print">
          <a:lum contrast="30000"/>
        </a:blip>
        <a:srcRect r="7692"/>
        <a:stretch>
          <a:fillRect/>
        </a:stretch>
      </xdr:blipFill>
      <xdr:spPr bwMode="auto">
        <a:xfrm>
          <a:off x="247650" y="123825"/>
          <a:ext cx="962025" cy="6286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563217</xdr:colOff>
      <xdr:row>1</xdr:row>
      <xdr:rowOff>197527</xdr:rowOff>
    </xdr:from>
    <xdr:to>
      <xdr:col>1</xdr:col>
      <xdr:colOff>115956</xdr:colOff>
      <xdr:row>6</xdr:row>
      <xdr:rowOff>146255</xdr:rowOff>
    </xdr:to>
    <xdr:pic>
      <xdr:nvPicPr>
        <xdr:cNvPr id="29697" name="Picture 1" descr="US-Green-Building.gif"/>
        <xdr:cNvPicPr>
          <a:picLocks noChangeAspect="1" noChangeArrowheads="1"/>
        </xdr:cNvPicPr>
      </xdr:nvPicPr>
      <xdr:blipFill>
        <a:blip xmlns:r="http://schemas.openxmlformats.org/officeDocument/2006/relationships" r:embed="rId1" cstate="print"/>
        <a:srcRect/>
        <a:stretch>
          <a:fillRect/>
        </a:stretch>
      </xdr:blipFill>
      <xdr:spPr bwMode="auto">
        <a:xfrm>
          <a:off x="563217" y="396310"/>
          <a:ext cx="795130" cy="810119"/>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0CWERRR/AppData/Local/Microsoft/Windows/Temporary%20Internet%20Files/Content.Outlook/YCPNCAXO/AF%20MILCON%20Susttainability%20Requirements%20Scoresheet%20LEED%20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coresheet"/>
      <sheetName val="Instructions"/>
      <sheetName val="References"/>
      <sheetName val="LocationList"/>
    </sheetNames>
    <sheetDataSet>
      <sheetData sheetId="0"/>
      <sheetData sheetId="1"/>
      <sheetData sheetId="2"/>
      <sheetData sheetId="3">
        <row r="4">
          <cell r="B4" t="str">
            <v>Other</v>
          </cell>
        </row>
        <row r="5">
          <cell r="B5" t="str">
            <v>Altus AFB</v>
          </cell>
        </row>
        <row r="6">
          <cell r="B6" t="str">
            <v>Andersen AFB</v>
          </cell>
        </row>
        <row r="7">
          <cell r="B7" t="str">
            <v>Andrews AFB</v>
          </cell>
        </row>
        <row r="8">
          <cell r="B8" t="str">
            <v>Arnold AFB</v>
          </cell>
        </row>
        <row r="9">
          <cell r="B9" t="str">
            <v>Aviano AB</v>
          </cell>
        </row>
        <row r="10">
          <cell r="B10" t="str">
            <v>Barksdale AFB</v>
          </cell>
        </row>
        <row r="11">
          <cell r="B11" t="str">
            <v>Beale AFB</v>
          </cell>
        </row>
        <row r="12">
          <cell r="B12" t="str">
            <v>Bellows AFB</v>
          </cell>
        </row>
        <row r="13">
          <cell r="B13" t="str">
            <v>Bolling AFB</v>
          </cell>
        </row>
        <row r="14">
          <cell r="B14" t="str">
            <v>Buckley AFB</v>
          </cell>
        </row>
        <row r="15">
          <cell r="B15" t="str">
            <v>Cannon AFB</v>
          </cell>
        </row>
        <row r="16">
          <cell r="B16" t="str">
            <v>Cape Canaveral AFS</v>
          </cell>
        </row>
        <row r="17">
          <cell r="B17" t="str">
            <v>Charleston AFB</v>
          </cell>
        </row>
        <row r="18">
          <cell r="B18" t="str">
            <v>Cheyenne Mountain AFS</v>
          </cell>
        </row>
        <row r="19">
          <cell r="B19" t="str">
            <v>Columbus AFB</v>
          </cell>
        </row>
        <row r="20">
          <cell r="B20" t="str">
            <v>Creech AFB</v>
          </cell>
        </row>
        <row r="21">
          <cell r="B21" t="str">
            <v>Davis-Monthan AFB</v>
          </cell>
        </row>
        <row r="22">
          <cell r="B22" t="str">
            <v>Dover AFB</v>
          </cell>
        </row>
        <row r="23">
          <cell r="B23" t="str">
            <v>Dyess AFB</v>
          </cell>
        </row>
        <row r="24">
          <cell r="B24" t="str">
            <v>Edwards AFB</v>
          </cell>
        </row>
        <row r="25">
          <cell r="B25" t="str">
            <v>Eglin AFB</v>
          </cell>
        </row>
        <row r="26">
          <cell r="B26" t="str">
            <v>Eielson AFB</v>
          </cell>
        </row>
        <row r="27">
          <cell r="B27" t="str">
            <v>Ellsworth AFB</v>
          </cell>
        </row>
        <row r="28">
          <cell r="B28" t="str">
            <v>Elmendorf AFB</v>
          </cell>
        </row>
        <row r="29">
          <cell r="B29" t="str">
            <v xml:space="preserve">F. E. Warren AFB </v>
          </cell>
        </row>
        <row r="30">
          <cell r="B30" t="str">
            <v>Fairchild AFB</v>
          </cell>
        </row>
        <row r="31">
          <cell r="B31" t="str">
            <v>Goodfellow AFB</v>
          </cell>
        </row>
        <row r="32">
          <cell r="B32" t="str">
            <v>Grand Forks AFB</v>
          </cell>
        </row>
        <row r="33">
          <cell r="B33" t="str">
            <v>Hanscom AFB</v>
          </cell>
        </row>
        <row r="34">
          <cell r="B34" t="str">
            <v>Hickam AFB</v>
          </cell>
        </row>
        <row r="35">
          <cell r="B35" t="str">
            <v>Hill AFB</v>
          </cell>
        </row>
        <row r="36">
          <cell r="B36" t="str">
            <v>Holloman AFB</v>
          </cell>
        </row>
        <row r="37">
          <cell r="B37" t="str">
            <v>Hurlburt Field</v>
          </cell>
        </row>
        <row r="38">
          <cell r="B38" t="str">
            <v>Incirlik AB</v>
          </cell>
        </row>
        <row r="39">
          <cell r="B39" t="str">
            <v>Izmir</v>
          </cell>
        </row>
        <row r="40">
          <cell r="B40" t="str">
            <v>Kadena AB</v>
          </cell>
        </row>
        <row r="41">
          <cell r="B41" t="str">
            <v>Keesler AFB</v>
          </cell>
        </row>
        <row r="42">
          <cell r="B42" t="str">
            <v>Kirtland AFB</v>
          </cell>
        </row>
        <row r="43">
          <cell r="B43" t="str">
            <v>Kunsan AB</v>
          </cell>
        </row>
        <row r="44">
          <cell r="B44" t="str">
            <v>Lackland AFB</v>
          </cell>
        </row>
        <row r="45">
          <cell r="B45" t="str">
            <v>Lajes Field</v>
          </cell>
        </row>
        <row r="46">
          <cell r="B46" t="str">
            <v>Langley AFB</v>
          </cell>
        </row>
        <row r="47">
          <cell r="B47" t="str">
            <v>Laughlin AFB</v>
          </cell>
        </row>
        <row r="48">
          <cell r="B48" t="str">
            <v>Little Rock AFB</v>
          </cell>
        </row>
        <row r="49">
          <cell r="B49" t="str">
            <v>Los Angeles AFB</v>
          </cell>
        </row>
        <row r="50">
          <cell r="B50" t="str">
            <v>Luke AFB</v>
          </cell>
        </row>
        <row r="51">
          <cell r="B51" t="str">
            <v>MacDill AFB</v>
          </cell>
        </row>
        <row r="52">
          <cell r="B52" t="str">
            <v>Malmstrom AFB</v>
          </cell>
        </row>
        <row r="53">
          <cell r="B53" t="str">
            <v>Maxwell-Gunter AFB</v>
          </cell>
        </row>
        <row r="54">
          <cell r="B54" t="str">
            <v>McChord AFB</v>
          </cell>
        </row>
        <row r="55">
          <cell r="B55" t="str">
            <v>McConnell AFB</v>
          </cell>
        </row>
        <row r="56">
          <cell r="B56" t="str">
            <v>Minot AFB</v>
          </cell>
        </row>
        <row r="57">
          <cell r="B57" t="str">
            <v>Misawa AB</v>
          </cell>
        </row>
        <row r="58">
          <cell r="B58" t="str">
            <v>Moody AFB</v>
          </cell>
        </row>
        <row r="59">
          <cell r="B59" t="str">
            <v>Mountain Home AFB</v>
          </cell>
        </row>
        <row r="60">
          <cell r="B60" t="str">
            <v>Nellis AFB</v>
          </cell>
        </row>
        <row r="61">
          <cell r="B61" t="str">
            <v>Offutt AFB</v>
          </cell>
        </row>
        <row r="62">
          <cell r="B62" t="str">
            <v>Osan AB</v>
          </cell>
        </row>
        <row r="63">
          <cell r="B63" t="str">
            <v>Patrick AFB</v>
          </cell>
        </row>
        <row r="64">
          <cell r="B64" t="str">
            <v>Peterson AFB</v>
          </cell>
        </row>
        <row r="65">
          <cell r="B65" t="str">
            <v>Pope AFB</v>
          </cell>
        </row>
        <row r="66">
          <cell r="B66" t="str">
            <v>RAF Alconbury</v>
          </cell>
        </row>
        <row r="67">
          <cell r="B67" t="str">
            <v>RAF Croughton</v>
          </cell>
        </row>
        <row r="68">
          <cell r="B68" t="str">
            <v>RAF Fairford</v>
          </cell>
        </row>
        <row r="69">
          <cell r="B69" t="str">
            <v>RAF Lakenheath</v>
          </cell>
        </row>
        <row r="70">
          <cell r="B70" t="str">
            <v>RAF Mildenhall</v>
          </cell>
        </row>
        <row r="71">
          <cell r="B71" t="str">
            <v>Ramstein AB</v>
          </cell>
        </row>
        <row r="72">
          <cell r="B72" t="str">
            <v>Randolph AFB</v>
          </cell>
        </row>
        <row r="73">
          <cell r="B73" t="str">
            <v>Robins AFB</v>
          </cell>
        </row>
        <row r="74">
          <cell r="B74" t="str">
            <v>Rome Laboratory</v>
          </cell>
        </row>
        <row r="75">
          <cell r="B75" t="str">
            <v>Schriever AFB</v>
          </cell>
        </row>
        <row r="76">
          <cell r="B76" t="str">
            <v>Scott AFB</v>
          </cell>
        </row>
        <row r="77">
          <cell r="B77" t="str">
            <v>Seymour Johnson AFB</v>
          </cell>
        </row>
        <row r="78">
          <cell r="B78" t="str">
            <v>Shaw AFB</v>
          </cell>
        </row>
        <row r="79">
          <cell r="B79" t="str">
            <v>Sheppard AFB</v>
          </cell>
        </row>
        <row r="80">
          <cell r="B80" t="str">
            <v>Spangdahlem AB</v>
          </cell>
        </row>
        <row r="81">
          <cell r="B81" t="str">
            <v>Thule AB</v>
          </cell>
        </row>
        <row r="82">
          <cell r="B82" t="str">
            <v>Tinker AFB</v>
          </cell>
        </row>
        <row r="83">
          <cell r="B83" t="str">
            <v>Travis AFB</v>
          </cell>
        </row>
        <row r="84">
          <cell r="B84" t="str">
            <v>Tyndall AFB</v>
          </cell>
        </row>
        <row r="85">
          <cell r="B85" t="str">
            <v>USAF Academy</v>
          </cell>
        </row>
        <row r="86">
          <cell r="B86" t="str">
            <v>Vance AFB</v>
          </cell>
        </row>
        <row r="87">
          <cell r="B87" t="str">
            <v>Vandenberg AFB</v>
          </cell>
        </row>
        <row r="88">
          <cell r="B88" t="str">
            <v>Whiteman AFB</v>
          </cell>
        </row>
        <row r="89">
          <cell r="B89" t="str">
            <v>Wright-Patterson AFB</v>
          </cell>
        </row>
        <row r="90">
          <cell r="B90" t="str">
            <v>Yokota AB</v>
          </cell>
        </row>
        <row r="208">
          <cell r="C208" t="str">
            <v>Certified</v>
          </cell>
        </row>
        <row r="209">
          <cell r="C209" t="str">
            <v>Silver</v>
          </cell>
        </row>
        <row r="210">
          <cell r="C210" t="str">
            <v>Gold</v>
          </cell>
        </row>
        <row r="211">
          <cell r="C211" t="str">
            <v>Platinum</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3.bin"/><Relationship Id="rId1" Type="http://schemas.openxmlformats.org/officeDocument/2006/relationships/hyperlink" Target="http://www.gsa.gov/Portal/gsa/ep/contentView.do?contentType=GSA_BASIC&amp;contentId=22395"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http://frwebgate.access.gpo.gov/cgi-bin/getdoc.cgi?dbname=109_cong_bills&amp;docid=f:h6enr.txt.pdf" TargetMode="External"/><Relationship Id="rId18" Type="http://schemas.openxmlformats.org/officeDocument/2006/relationships/hyperlink" Target="http://www.usda.gov/biopreferred" TargetMode="External"/><Relationship Id="rId26" Type="http://schemas.openxmlformats.org/officeDocument/2006/relationships/hyperlink" Target="http://www.wbdg.org/pdfs/hpsb_guidance.pdf" TargetMode="External"/><Relationship Id="rId39" Type="http://schemas.openxmlformats.org/officeDocument/2006/relationships/hyperlink" Target="http://www.wbdg.org/pdfs/hpsb_guidance.pdf" TargetMode="External"/><Relationship Id="rId21" Type="http://schemas.openxmlformats.org/officeDocument/2006/relationships/hyperlink" Target="http://www.wbdg.org/pdfs/hpsb_guidance.pdf" TargetMode="External"/><Relationship Id="rId34" Type="http://schemas.openxmlformats.org/officeDocument/2006/relationships/hyperlink" Target="http://www.p2sustainabilitylibrary.mil/p2_documents/dusd_ie.pdf" TargetMode="External"/><Relationship Id="rId42" Type="http://schemas.openxmlformats.org/officeDocument/2006/relationships/hyperlink" Target="http://www.usgbc.org/ShowFile.aspx?DocumentID=5546" TargetMode="External"/><Relationship Id="rId47" Type="http://schemas.openxmlformats.org/officeDocument/2006/relationships/hyperlink" Target="http://www.usgbc.org/ShowFile.aspx?DocumentID=5546" TargetMode="External"/><Relationship Id="rId50" Type="http://schemas.openxmlformats.org/officeDocument/2006/relationships/hyperlink" Target="http://www.usgbc.org/ShowFile.aspx?DocumentID=5546" TargetMode="External"/><Relationship Id="rId55" Type="http://schemas.openxmlformats.org/officeDocument/2006/relationships/hyperlink" Target="http://www.usgbc.org/ShowFile.aspx?DocumentID=5546" TargetMode="External"/><Relationship Id="rId63" Type="http://schemas.openxmlformats.org/officeDocument/2006/relationships/hyperlink" Target="http://www.usgbc.org/ShowFile.aspx?DocumentID=5546" TargetMode="External"/><Relationship Id="rId68" Type="http://schemas.openxmlformats.org/officeDocument/2006/relationships/printerSettings" Target="../printerSettings/printerSettings6.bin"/><Relationship Id="rId7" Type="http://schemas.openxmlformats.org/officeDocument/2006/relationships/hyperlink" Target="http://www.wbdg.org/pdfs/hpsb_guidance.pdf" TargetMode="External"/><Relationship Id="rId2" Type="http://schemas.openxmlformats.org/officeDocument/2006/relationships/hyperlink" Target="http://www.wbdg.org/ccb/AF/AFETL/etl_03_1.pdf" TargetMode="External"/><Relationship Id="rId16" Type="http://schemas.openxmlformats.org/officeDocument/2006/relationships/hyperlink" Target="http://www.wbdg.org/pdfs/hpsb_guidance.pdf" TargetMode="External"/><Relationship Id="rId29" Type="http://schemas.openxmlformats.org/officeDocument/2006/relationships/hyperlink" Target="http://www.wbdg.org/pdfs/hpsb_guidance.pdf" TargetMode="External"/><Relationship Id="rId1" Type="http://schemas.openxmlformats.org/officeDocument/2006/relationships/hyperlink" Target="http://www.fedcenter.gov/_kd/Items/actions.cfm?action=Show&amp;item_id=11130&amp;destination=ShowItem" TargetMode="External"/><Relationship Id="rId6" Type="http://schemas.openxmlformats.org/officeDocument/2006/relationships/hyperlink" Target="http://www.wbdg.org/pdfs/hpsb_guidance.pdf" TargetMode="External"/><Relationship Id="rId11" Type="http://schemas.openxmlformats.org/officeDocument/2006/relationships/hyperlink" Target="http://www.wbdg.org/pdfs/hpsb_guidance.pdf" TargetMode="External"/><Relationship Id="rId24" Type="http://schemas.openxmlformats.org/officeDocument/2006/relationships/hyperlink" Target="http://www.wbdg.org/pdfs/hpsb_guidance.pdf" TargetMode="External"/><Relationship Id="rId32" Type="http://schemas.openxmlformats.org/officeDocument/2006/relationships/hyperlink" Target="http://frwebgate.access.gpo.gov/cgi-bin/getdoc.cgi?dbname=110_cong_bills&amp;docid=f:h6enr.txt.pdf" TargetMode="External"/><Relationship Id="rId37" Type="http://schemas.openxmlformats.org/officeDocument/2006/relationships/hyperlink" Target="http://ecfr.gpoaccess.gov/cgi/t/text/text-idx?c=ecfr&amp;sid=6e7ccb4d953d0901e8d59aead0174660&amp;rgn=div8&amp;view=text&amp;node=10:3.0.1.4.18.0.85.5&amp;idno=10" TargetMode="External"/><Relationship Id="rId40" Type="http://schemas.openxmlformats.org/officeDocument/2006/relationships/hyperlink" Target="http://www.afcesa.af.mil/shared/media/document/AFD-070614-053.pdf" TargetMode="External"/><Relationship Id="rId45" Type="http://schemas.openxmlformats.org/officeDocument/2006/relationships/hyperlink" Target="http://www.usgbc.org/ShowFile.aspx?DocumentID=5546" TargetMode="External"/><Relationship Id="rId53" Type="http://schemas.openxmlformats.org/officeDocument/2006/relationships/hyperlink" Target="http://www.usgbc.org/ShowFile.aspx?DocumentID=5546" TargetMode="External"/><Relationship Id="rId58" Type="http://schemas.openxmlformats.org/officeDocument/2006/relationships/hyperlink" Target="http://www.usgbc.org/ShowFile.aspx?DocumentID=5546" TargetMode="External"/><Relationship Id="rId66" Type="http://schemas.openxmlformats.org/officeDocument/2006/relationships/hyperlink" Target="http://femp.buildinggreen.com/" TargetMode="External"/><Relationship Id="rId5" Type="http://schemas.openxmlformats.org/officeDocument/2006/relationships/hyperlink" Target="http://www.wbdg.org/pdfs/hpsb_guidance.pdf" TargetMode="External"/><Relationship Id="rId15" Type="http://schemas.openxmlformats.org/officeDocument/2006/relationships/hyperlink" Target="http://www1.eere.energy.gov/femp/regulations/eo13423.html" TargetMode="External"/><Relationship Id="rId23" Type="http://schemas.openxmlformats.org/officeDocument/2006/relationships/hyperlink" Target="http://www.wbdg.org/pdfs/hpsb_guidance.pdf" TargetMode="External"/><Relationship Id="rId28" Type="http://schemas.openxmlformats.org/officeDocument/2006/relationships/hyperlink" Target="http://frwebgate.access.gpo.gov/cgi-bin/getdoc.cgi?dbname=109_cong_bills&amp;docid=f:h6enr.txt.pdf" TargetMode="External"/><Relationship Id="rId36" Type="http://schemas.openxmlformats.org/officeDocument/2006/relationships/hyperlink" Target="http://www.wbdg.org/pdfs/hpsb_guidance.pdf" TargetMode="External"/><Relationship Id="rId49" Type="http://schemas.openxmlformats.org/officeDocument/2006/relationships/hyperlink" Target="http://www.usgbc.org/ShowFile.aspx?DocumentID=5546" TargetMode="External"/><Relationship Id="rId57" Type="http://schemas.openxmlformats.org/officeDocument/2006/relationships/hyperlink" Target="http://www.usgbc.org/ShowFile.aspx?DocumentID=5546" TargetMode="External"/><Relationship Id="rId61" Type="http://schemas.openxmlformats.org/officeDocument/2006/relationships/hyperlink" Target="http://epw.senate.gov/rcra.pdf" TargetMode="External"/><Relationship Id="rId10" Type="http://schemas.openxmlformats.org/officeDocument/2006/relationships/hyperlink" Target="http://frwebgate.access.gpo.gov/cgi-bin/getdoc.cgi?dbname=110_cong_bills&amp;docid=f:h6enr.txt.pdf" TargetMode="External"/><Relationship Id="rId19" Type="http://schemas.openxmlformats.org/officeDocument/2006/relationships/hyperlink" Target="http://www.wbdg.org/pdfs/hpsb_guidance.pdf" TargetMode="External"/><Relationship Id="rId31" Type="http://schemas.openxmlformats.org/officeDocument/2006/relationships/hyperlink" Target="http://www.wbdg.org/design/greenspec.php" TargetMode="External"/><Relationship Id="rId44" Type="http://schemas.openxmlformats.org/officeDocument/2006/relationships/hyperlink" Target="http://www.usgbc.org/ShowFile.aspx?DocumentID=5546" TargetMode="External"/><Relationship Id="rId52" Type="http://schemas.openxmlformats.org/officeDocument/2006/relationships/hyperlink" Target="http://www.usgbc.org/ShowFile.aspx?DocumentID=5546" TargetMode="External"/><Relationship Id="rId60" Type="http://schemas.openxmlformats.org/officeDocument/2006/relationships/hyperlink" Target="http://www.usgbc.org/ShowFile.aspx?DocumentID=5546" TargetMode="External"/><Relationship Id="rId65" Type="http://schemas.openxmlformats.org/officeDocument/2006/relationships/hyperlink" Target="http://www.usgbc.org/ShowFile.aspx?DocumentID=5546" TargetMode="External"/><Relationship Id="rId4" Type="http://schemas.openxmlformats.org/officeDocument/2006/relationships/hyperlink" Target="http://www.wbdg.org/pdfs/hpsb_guidance.pdf" TargetMode="External"/><Relationship Id="rId9" Type="http://schemas.openxmlformats.org/officeDocument/2006/relationships/hyperlink" Target="http://www.wbdg.org/pdfs/hpsb_guidance.pdf" TargetMode="External"/><Relationship Id="rId14" Type="http://schemas.openxmlformats.org/officeDocument/2006/relationships/hyperlink" Target="http://www.wbdg.org/pdfs/hpsb_guidance.pdf" TargetMode="External"/><Relationship Id="rId22" Type="http://schemas.openxmlformats.org/officeDocument/2006/relationships/hyperlink" Target="http://edocket.access.gpo.gov/2008/E8-30377.htm" TargetMode="External"/><Relationship Id="rId27" Type="http://schemas.openxmlformats.org/officeDocument/2006/relationships/hyperlink" Target="http://www.wbdg.org/pdfs/hpsb_guidance.pdf" TargetMode="External"/><Relationship Id="rId30" Type="http://schemas.openxmlformats.org/officeDocument/2006/relationships/hyperlink" Target="http://www.wbdg.org/pdfs/hpsb_guidance.pdf" TargetMode="External"/><Relationship Id="rId35" Type="http://schemas.openxmlformats.org/officeDocument/2006/relationships/hyperlink" Target="http://www.wbdg.org/pdfs/hpsb_guidance.pdf" TargetMode="External"/><Relationship Id="rId43" Type="http://schemas.openxmlformats.org/officeDocument/2006/relationships/hyperlink" Target="http://www.usgbc.org/ShowFile.aspx?DocumentID=5546" TargetMode="External"/><Relationship Id="rId48" Type="http://schemas.openxmlformats.org/officeDocument/2006/relationships/hyperlink" Target="http://www.usgbc.org/ShowFile.aspx?DocumentID=5546" TargetMode="External"/><Relationship Id="rId56" Type="http://schemas.openxmlformats.org/officeDocument/2006/relationships/hyperlink" Target="http://www.usgbc.org/ShowFile.aspx?DocumentID=5546" TargetMode="External"/><Relationship Id="rId64" Type="http://schemas.openxmlformats.org/officeDocument/2006/relationships/hyperlink" Target="http://frwebgate.access.gpo.gov/cgi-bin/getdoc.cgi?dbname=107_cong_public_laws&amp;docid=f:publ171.107.pdf" TargetMode="External"/><Relationship Id="rId8" Type="http://schemas.openxmlformats.org/officeDocument/2006/relationships/hyperlink" Target="http://www.wbdg.org/pdfs/hpsb_guidance.pdf" TargetMode="External"/><Relationship Id="rId51" Type="http://schemas.openxmlformats.org/officeDocument/2006/relationships/hyperlink" Target="http://www.usgbc.org/ShowFile.aspx?DocumentID=5546" TargetMode="External"/><Relationship Id="rId3" Type="http://schemas.openxmlformats.org/officeDocument/2006/relationships/hyperlink" Target="http://www.wbdg.org/pdfs/hpsb_guidance.pdf" TargetMode="External"/><Relationship Id="rId12" Type="http://schemas.openxmlformats.org/officeDocument/2006/relationships/hyperlink" Target="http://www.wbdg.org/pdfs/hpsb_guidance.pdf" TargetMode="External"/><Relationship Id="rId17" Type="http://schemas.openxmlformats.org/officeDocument/2006/relationships/hyperlink" Target="http://www.epa.gov/cpg" TargetMode="External"/><Relationship Id="rId25" Type="http://schemas.openxmlformats.org/officeDocument/2006/relationships/hyperlink" Target="http://www.wbdg.org/pdfs/hpsb_guidance.pdf" TargetMode="External"/><Relationship Id="rId33" Type="http://schemas.openxmlformats.org/officeDocument/2006/relationships/hyperlink" Target="http://frwebgate.access.gpo.gov/cgi-bin/getdoc.cgi?dbname=110_cong_bills&amp;docid=f:h6enr.txt.pdf" TargetMode="External"/><Relationship Id="rId38" Type="http://schemas.openxmlformats.org/officeDocument/2006/relationships/hyperlink" Target="http://thomas.loc.gov/cgi-bin/query/z?c102:H.R.776.ENR:" TargetMode="External"/><Relationship Id="rId46" Type="http://schemas.openxmlformats.org/officeDocument/2006/relationships/hyperlink" Target="http://www.usgbc.org/ShowFile.aspx?DocumentID=5546" TargetMode="External"/><Relationship Id="rId59" Type="http://schemas.openxmlformats.org/officeDocument/2006/relationships/hyperlink" Target="http://www.usgbc.org/ShowFile.aspx?DocumentID=5546" TargetMode="External"/><Relationship Id="rId67" Type="http://schemas.openxmlformats.org/officeDocument/2006/relationships/hyperlink" Target="http://www.fedcenter.gov/_kd/Items/actions.cfm?action=Show&amp;item_id=4713&amp;destination=ShowItem" TargetMode="External"/><Relationship Id="rId20" Type="http://schemas.openxmlformats.org/officeDocument/2006/relationships/hyperlink" Target="http://www.wbdg.org/pdfs/hpsb_guidance.pdf" TargetMode="External"/><Relationship Id="rId41" Type="http://schemas.openxmlformats.org/officeDocument/2006/relationships/hyperlink" Target="http://www.usgbc.org/ShowFile.aspx?DocumentID=5546" TargetMode="External"/><Relationship Id="rId54" Type="http://schemas.openxmlformats.org/officeDocument/2006/relationships/hyperlink" Target="http://www.usgbc.org/ShowFile.aspx?DocumentID=5546" TargetMode="External"/><Relationship Id="rId62" Type="http://schemas.openxmlformats.org/officeDocument/2006/relationships/hyperlink" Target="http://www.usgbc.org/ShowFile.aspx?DocumentID=5546" TargetMode="External"/></Relationships>
</file>

<file path=xl/worksheets/sheet1.xml><?xml version="1.0" encoding="utf-8"?>
<worksheet xmlns="http://schemas.openxmlformats.org/spreadsheetml/2006/main" xmlns:r="http://schemas.openxmlformats.org/officeDocument/2006/relationships">
  <sheetPr codeName="Sheet1"/>
  <dimension ref="A1:N93"/>
  <sheetViews>
    <sheetView topLeftCell="A10" zoomScaleNormal="100" workbookViewId="0">
      <selection activeCell="B6" sqref="B6:K8"/>
    </sheetView>
  </sheetViews>
  <sheetFormatPr defaultRowHeight="13.2"/>
  <cols>
    <col min="1" max="1" width="1.109375" style="2" customWidth="1"/>
    <col min="2" max="2" width="13" style="2" customWidth="1"/>
    <col min="3" max="3" width="6.5546875" style="2" customWidth="1"/>
    <col min="4" max="4" width="12.6640625" style="2" customWidth="1"/>
    <col min="5" max="5" width="12.88671875" style="2" customWidth="1"/>
    <col min="6" max="7" width="12.6640625" style="2" customWidth="1"/>
    <col min="8" max="8" width="6.6640625" style="2" customWidth="1"/>
    <col min="9" max="9" width="12.6640625" style="2" customWidth="1"/>
    <col min="10" max="10" width="12.88671875" style="2" customWidth="1"/>
    <col min="11" max="11" width="12.6640625" style="2" customWidth="1"/>
    <col min="12" max="12" width="1.33203125" style="2" customWidth="1"/>
    <col min="13" max="258" width="9.109375" style="2"/>
    <col min="259" max="259" width="2.6640625" style="2" customWidth="1"/>
    <col min="260" max="260" width="12.6640625" style="2" customWidth="1"/>
    <col min="261" max="261" width="48.33203125" style="2" customWidth="1"/>
    <col min="262" max="262" width="4.88671875" style="2" customWidth="1"/>
    <col min="263" max="263" width="3.44140625" style="2" customWidth="1"/>
    <col min="264" max="266" width="22.6640625" style="2" customWidth="1"/>
    <col min="267" max="514" width="9.109375" style="2"/>
    <col min="515" max="515" width="2.6640625" style="2" customWidth="1"/>
    <col min="516" max="516" width="12.6640625" style="2" customWidth="1"/>
    <col min="517" max="517" width="48.33203125" style="2" customWidth="1"/>
    <col min="518" max="518" width="4.88671875" style="2" customWidth="1"/>
    <col min="519" max="519" width="3.44140625" style="2" customWidth="1"/>
    <col min="520" max="522" width="22.6640625" style="2" customWidth="1"/>
    <col min="523" max="770" width="9.109375" style="2"/>
    <col min="771" max="771" width="2.6640625" style="2" customWidth="1"/>
    <col min="772" max="772" width="12.6640625" style="2" customWidth="1"/>
    <col min="773" max="773" width="48.33203125" style="2" customWidth="1"/>
    <col min="774" max="774" width="4.88671875" style="2" customWidth="1"/>
    <col min="775" max="775" width="3.44140625" style="2" customWidth="1"/>
    <col min="776" max="778" width="22.6640625" style="2" customWidth="1"/>
    <col min="779" max="1026" width="9.109375" style="2"/>
    <col min="1027" max="1027" width="2.6640625" style="2" customWidth="1"/>
    <col min="1028" max="1028" width="12.6640625" style="2" customWidth="1"/>
    <col min="1029" max="1029" width="48.33203125" style="2" customWidth="1"/>
    <col min="1030" max="1030" width="4.88671875" style="2" customWidth="1"/>
    <col min="1031" max="1031" width="3.44140625" style="2" customWidth="1"/>
    <col min="1032" max="1034" width="22.6640625" style="2" customWidth="1"/>
    <col min="1035" max="1282" width="9.109375" style="2"/>
    <col min="1283" max="1283" width="2.6640625" style="2" customWidth="1"/>
    <col min="1284" max="1284" width="12.6640625" style="2" customWidth="1"/>
    <col min="1285" max="1285" width="48.33203125" style="2" customWidth="1"/>
    <col min="1286" max="1286" width="4.88671875" style="2" customWidth="1"/>
    <col min="1287" max="1287" width="3.44140625" style="2" customWidth="1"/>
    <col min="1288" max="1290" width="22.6640625" style="2" customWidth="1"/>
    <col min="1291" max="1538" width="9.109375" style="2"/>
    <col min="1539" max="1539" width="2.6640625" style="2" customWidth="1"/>
    <col min="1540" max="1540" width="12.6640625" style="2" customWidth="1"/>
    <col min="1541" max="1541" width="48.33203125" style="2" customWidth="1"/>
    <col min="1542" max="1542" width="4.88671875" style="2" customWidth="1"/>
    <col min="1543" max="1543" width="3.44140625" style="2" customWidth="1"/>
    <col min="1544" max="1546" width="22.6640625" style="2" customWidth="1"/>
    <col min="1547" max="1794" width="9.109375" style="2"/>
    <col min="1795" max="1795" width="2.6640625" style="2" customWidth="1"/>
    <col min="1796" max="1796" width="12.6640625" style="2" customWidth="1"/>
    <col min="1797" max="1797" width="48.33203125" style="2" customWidth="1"/>
    <col min="1798" max="1798" width="4.88671875" style="2" customWidth="1"/>
    <col min="1799" max="1799" width="3.44140625" style="2" customWidth="1"/>
    <col min="1800" max="1802" width="22.6640625" style="2" customWidth="1"/>
    <col min="1803" max="2050" width="9.109375" style="2"/>
    <col min="2051" max="2051" width="2.6640625" style="2" customWidth="1"/>
    <col min="2052" max="2052" width="12.6640625" style="2" customWidth="1"/>
    <col min="2053" max="2053" width="48.33203125" style="2" customWidth="1"/>
    <col min="2054" max="2054" width="4.88671875" style="2" customWidth="1"/>
    <col min="2055" max="2055" width="3.44140625" style="2" customWidth="1"/>
    <col min="2056" max="2058" width="22.6640625" style="2" customWidth="1"/>
    <col min="2059" max="2306" width="9.109375" style="2"/>
    <col min="2307" max="2307" width="2.6640625" style="2" customWidth="1"/>
    <col min="2308" max="2308" width="12.6640625" style="2" customWidth="1"/>
    <col min="2309" max="2309" width="48.33203125" style="2" customWidth="1"/>
    <col min="2310" max="2310" width="4.88671875" style="2" customWidth="1"/>
    <col min="2311" max="2311" width="3.44140625" style="2" customWidth="1"/>
    <col min="2312" max="2314" width="22.6640625" style="2" customWidth="1"/>
    <col min="2315" max="2562" width="9.109375" style="2"/>
    <col min="2563" max="2563" width="2.6640625" style="2" customWidth="1"/>
    <col min="2564" max="2564" width="12.6640625" style="2" customWidth="1"/>
    <col min="2565" max="2565" width="48.33203125" style="2" customWidth="1"/>
    <col min="2566" max="2566" width="4.88671875" style="2" customWidth="1"/>
    <col min="2567" max="2567" width="3.44140625" style="2" customWidth="1"/>
    <col min="2568" max="2570" width="22.6640625" style="2" customWidth="1"/>
    <col min="2571" max="2818" width="9.109375" style="2"/>
    <col min="2819" max="2819" width="2.6640625" style="2" customWidth="1"/>
    <col min="2820" max="2820" width="12.6640625" style="2" customWidth="1"/>
    <col min="2821" max="2821" width="48.33203125" style="2" customWidth="1"/>
    <col min="2822" max="2822" width="4.88671875" style="2" customWidth="1"/>
    <col min="2823" max="2823" width="3.44140625" style="2" customWidth="1"/>
    <col min="2824" max="2826" width="22.6640625" style="2" customWidth="1"/>
    <col min="2827" max="3074" width="9.109375" style="2"/>
    <col min="3075" max="3075" width="2.6640625" style="2" customWidth="1"/>
    <col min="3076" max="3076" width="12.6640625" style="2" customWidth="1"/>
    <col min="3077" max="3077" width="48.33203125" style="2" customWidth="1"/>
    <col min="3078" max="3078" width="4.88671875" style="2" customWidth="1"/>
    <col min="3079" max="3079" width="3.44140625" style="2" customWidth="1"/>
    <col min="3080" max="3082" width="22.6640625" style="2" customWidth="1"/>
    <col min="3083" max="3330" width="9.109375" style="2"/>
    <col min="3331" max="3331" width="2.6640625" style="2" customWidth="1"/>
    <col min="3332" max="3332" width="12.6640625" style="2" customWidth="1"/>
    <col min="3333" max="3333" width="48.33203125" style="2" customWidth="1"/>
    <col min="3334" max="3334" width="4.88671875" style="2" customWidth="1"/>
    <col min="3335" max="3335" width="3.44140625" style="2" customWidth="1"/>
    <col min="3336" max="3338" width="22.6640625" style="2" customWidth="1"/>
    <col min="3339" max="3586" width="9.109375" style="2"/>
    <col min="3587" max="3587" width="2.6640625" style="2" customWidth="1"/>
    <col min="3588" max="3588" width="12.6640625" style="2" customWidth="1"/>
    <col min="3589" max="3589" width="48.33203125" style="2" customWidth="1"/>
    <col min="3590" max="3590" width="4.88671875" style="2" customWidth="1"/>
    <col min="3591" max="3591" width="3.44140625" style="2" customWidth="1"/>
    <col min="3592" max="3594" width="22.6640625" style="2" customWidth="1"/>
    <col min="3595" max="3842" width="9.109375" style="2"/>
    <col min="3843" max="3843" width="2.6640625" style="2" customWidth="1"/>
    <col min="3844" max="3844" width="12.6640625" style="2" customWidth="1"/>
    <col min="3845" max="3845" width="48.33203125" style="2" customWidth="1"/>
    <col min="3846" max="3846" width="4.88671875" style="2" customWidth="1"/>
    <col min="3847" max="3847" width="3.44140625" style="2" customWidth="1"/>
    <col min="3848" max="3850" width="22.6640625" style="2" customWidth="1"/>
    <col min="3851" max="4098" width="9.109375" style="2"/>
    <col min="4099" max="4099" width="2.6640625" style="2" customWidth="1"/>
    <col min="4100" max="4100" width="12.6640625" style="2" customWidth="1"/>
    <col min="4101" max="4101" width="48.33203125" style="2" customWidth="1"/>
    <col min="4102" max="4102" width="4.88671875" style="2" customWidth="1"/>
    <col min="4103" max="4103" width="3.44140625" style="2" customWidth="1"/>
    <col min="4104" max="4106" width="22.6640625" style="2" customWidth="1"/>
    <col min="4107" max="4354" width="9.109375" style="2"/>
    <col min="4355" max="4355" width="2.6640625" style="2" customWidth="1"/>
    <col min="4356" max="4356" width="12.6640625" style="2" customWidth="1"/>
    <col min="4357" max="4357" width="48.33203125" style="2" customWidth="1"/>
    <col min="4358" max="4358" width="4.88671875" style="2" customWidth="1"/>
    <col min="4359" max="4359" width="3.44140625" style="2" customWidth="1"/>
    <col min="4360" max="4362" width="22.6640625" style="2" customWidth="1"/>
    <col min="4363" max="4610" width="9.109375" style="2"/>
    <col min="4611" max="4611" width="2.6640625" style="2" customWidth="1"/>
    <col min="4612" max="4612" width="12.6640625" style="2" customWidth="1"/>
    <col min="4613" max="4613" width="48.33203125" style="2" customWidth="1"/>
    <col min="4614" max="4614" width="4.88671875" style="2" customWidth="1"/>
    <col min="4615" max="4615" width="3.44140625" style="2" customWidth="1"/>
    <col min="4616" max="4618" width="22.6640625" style="2" customWidth="1"/>
    <col min="4619" max="4866" width="9.109375" style="2"/>
    <col min="4867" max="4867" width="2.6640625" style="2" customWidth="1"/>
    <col min="4868" max="4868" width="12.6640625" style="2" customWidth="1"/>
    <col min="4869" max="4869" width="48.33203125" style="2" customWidth="1"/>
    <col min="4870" max="4870" width="4.88671875" style="2" customWidth="1"/>
    <col min="4871" max="4871" width="3.44140625" style="2" customWidth="1"/>
    <col min="4872" max="4874" width="22.6640625" style="2" customWidth="1"/>
    <col min="4875" max="5122" width="9.109375" style="2"/>
    <col min="5123" max="5123" width="2.6640625" style="2" customWidth="1"/>
    <col min="5124" max="5124" width="12.6640625" style="2" customWidth="1"/>
    <col min="5125" max="5125" width="48.33203125" style="2" customWidth="1"/>
    <col min="5126" max="5126" width="4.88671875" style="2" customWidth="1"/>
    <col min="5127" max="5127" width="3.44140625" style="2" customWidth="1"/>
    <col min="5128" max="5130" width="22.6640625" style="2" customWidth="1"/>
    <col min="5131" max="5378" width="9.109375" style="2"/>
    <col min="5379" max="5379" width="2.6640625" style="2" customWidth="1"/>
    <col min="5380" max="5380" width="12.6640625" style="2" customWidth="1"/>
    <col min="5381" max="5381" width="48.33203125" style="2" customWidth="1"/>
    <col min="5382" max="5382" width="4.88671875" style="2" customWidth="1"/>
    <col min="5383" max="5383" width="3.44140625" style="2" customWidth="1"/>
    <col min="5384" max="5386" width="22.6640625" style="2" customWidth="1"/>
    <col min="5387" max="5634" width="9.109375" style="2"/>
    <col min="5635" max="5635" width="2.6640625" style="2" customWidth="1"/>
    <col min="5636" max="5636" width="12.6640625" style="2" customWidth="1"/>
    <col min="5637" max="5637" width="48.33203125" style="2" customWidth="1"/>
    <col min="5638" max="5638" width="4.88671875" style="2" customWidth="1"/>
    <col min="5639" max="5639" width="3.44140625" style="2" customWidth="1"/>
    <col min="5640" max="5642" width="22.6640625" style="2" customWidth="1"/>
    <col min="5643" max="5890" width="9.109375" style="2"/>
    <col min="5891" max="5891" width="2.6640625" style="2" customWidth="1"/>
    <col min="5892" max="5892" width="12.6640625" style="2" customWidth="1"/>
    <col min="5893" max="5893" width="48.33203125" style="2" customWidth="1"/>
    <col min="5894" max="5894" width="4.88671875" style="2" customWidth="1"/>
    <col min="5895" max="5895" width="3.44140625" style="2" customWidth="1"/>
    <col min="5896" max="5898" width="22.6640625" style="2" customWidth="1"/>
    <col min="5899" max="6146" width="9.109375" style="2"/>
    <col min="6147" max="6147" width="2.6640625" style="2" customWidth="1"/>
    <col min="6148" max="6148" width="12.6640625" style="2" customWidth="1"/>
    <col min="6149" max="6149" width="48.33203125" style="2" customWidth="1"/>
    <col min="6150" max="6150" width="4.88671875" style="2" customWidth="1"/>
    <col min="6151" max="6151" width="3.44140625" style="2" customWidth="1"/>
    <col min="6152" max="6154" width="22.6640625" style="2" customWidth="1"/>
    <col min="6155" max="6402" width="9.109375" style="2"/>
    <col min="6403" max="6403" width="2.6640625" style="2" customWidth="1"/>
    <col min="6404" max="6404" width="12.6640625" style="2" customWidth="1"/>
    <col min="6405" max="6405" width="48.33203125" style="2" customWidth="1"/>
    <col min="6406" max="6406" width="4.88671875" style="2" customWidth="1"/>
    <col min="6407" max="6407" width="3.44140625" style="2" customWidth="1"/>
    <col min="6408" max="6410" width="22.6640625" style="2" customWidth="1"/>
    <col min="6411" max="6658" width="9.109375" style="2"/>
    <col min="6659" max="6659" width="2.6640625" style="2" customWidth="1"/>
    <col min="6660" max="6660" width="12.6640625" style="2" customWidth="1"/>
    <col min="6661" max="6661" width="48.33203125" style="2" customWidth="1"/>
    <col min="6662" max="6662" width="4.88671875" style="2" customWidth="1"/>
    <col min="6663" max="6663" width="3.44140625" style="2" customWidth="1"/>
    <col min="6664" max="6666" width="22.6640625" style="2" customWidth="1"/>
    <col min="6667" max="6914" width="9.109375" style="2"/>
    <col min="6915" max="6915" width="2.6640625" style="2" customWidth="1"/>
    <col min="6916" max="6916" width="12.6640625" style="2" customWidth="1"/>
    <col min="6917" max="6917" width="48.33203125" style="2" customWidth="1"/>
    <col min="6918" max="6918" width="4.88671875" style="2" customWidth="1"/>
    <col min="6919" max="6919" width="3.44140625" style="2" customWidth="1"/>
    <col min="6920" max="6922" width="22.6640625" style="2" customWidth="1"/>
    <col min="6923" max="7170" width="9.109375" style="2"/>
    <col min="7171" max="7171" width="2.6640625" style="2" customWidth="1"/>
    <col min="7172" max="7172" width="12.6640625" style="2" customWidth="1"/>
    <col min="7173" max="7173" width="48.33203125" style="2" customWidth="1"/>
    <col min="7174" max="7174" width="4.88671875" style="2" customWidth="1"/>
    <col min="7175" max="7175" width="3.44140625" style="2" customWidth="1"/>
    <col min="7176" max="7178" width="22.6640625" style="2" customWidth="1"/>
    <col min="7179" max="7426" width="9.109375" style="2"/>
    <col min="7427" max="7427" width="2.6640625" style="2" customWidth="1"/>
    <col min="7428" max="7428" width="12.6640625" style="2" customWidth="1"/>
    <col min="7429" max="7429" width="48.33203125" style="2" customWidth="1"/>
    <col min="7430" max="7430" width="4.88671875" style="2" customWidth="1"/>
    <col min="7431" max="7431" width="3.44140625" style="2" customWidth="1"/>
    <col min="7432" max="7434" width="22.6640625" style="2" customWidth="1"/>
    <col min="7435" max="7682" width="9.109375" style="2"/>
    <col min="7683" max="7683" width="2.6640625" style="2" customWidth="1"/>
    <col min="7684" max="7684" width="12.6640625" style="2" customWidth="1"/>
    <col min="7685" max="7685" width="48.33203125" style="2" customWidth="1"/>
    <col min="7686" max="7686" width="4.88671875" style="2" customWidth="1"/>
    <col min="7687" max="7687" width="3.44140625" style="2" customWidth="1"/>
    <col min="7688" max="7690" width="22.6640625" style="2" customWidth="1"/>
    <col min="7691" max="7938" width="9.109375" style="2"/>
    <col min="7939" max="7939" width="2.6640625" style="2" customWidth="1"/>
    <col min="7940" max="7940" width="12.6640625" style="2" customWidth="1"/>
    <col min="7941" max="7941" width="48.33203125" style="2" customWidth="1"/>
    <col min="7942" max="7942" width="4.88671875" style="2" customWidth="1"/>
    <col min="7943" max="7943" width="3.44140625" style="2" customWidth="1"/>
    <col min="7944" max="7946" width="22.6640625" style="2" customWidth="1"/>
    <col min="7947" max="8194" width="9.109375" style="2"/>
    <col min="8195" max="8195" width="2.6640625" style="2" customWidth="1"/>
    <col min="8196" max="8196" width="12.6640625" style="2" customWidth="1"/>
    <col min="8197" max="8197" width="48.33203125" style="2" customWidth="1"/>
    <col min="8198" max="8198" width="4.88671875" style="2" customWidth="1"/>
    <col min="8199" max="8199" width="3.44140625" style="2" customWidth="1"/>
    <col min="8200" max="8202" width="22.6640625" style="2" customWidth="1"/>
    <col min="8203" max="8450" width="9.109375" style="2"/>
    <col min="8451" max="8451" width="2.6640625" style="2" customWidth="1"/>
    <col min="8452" max="8452" width="12.6640625" style="2" customWidth="1"/>
    <col min="8453" max="8453" width="48.33203125" style="2" customWidth="1"/>
    <col min="8454" max="8454" width="4.88671875" style="2" customWidth="1"/>
    <col min="8455" max="8455" width="3.44140625" style="2" customWidth="1"/>
    <col min="8456" max="8458" width="22.6640625" style="2" customWidth="1"/>
    <col min="8459" max="8706" width="9.109375" style="2"/>
    <col min="8707" max="8707" width="2.6640625" style="2" customWidth="1"/>
    <col min="8708" max="8708" width="12.6640625" style="2" customWidth="1"/>
    <col min="8709" max="8709" width="48.33203125" style="2" customWidth="1"/>
    <col min="8710" max="8710" width="4.88671875" style="2" customWidth="1"/>
    <col min="8711" max="8711" width="3.44140625" style="2" customWidth="1"/>
    <col min="8712" max="8714" width="22.6640625" style="2" customWidth="1"/>
    <col min="8715" max="8962" width="9.109375" style="2"/>
    <col min="8963" max="8963" width="2.6640625" style="2" customWidth="1"/>
    <col min="8964" max="8964" width="12.6640625" style="2" customWidth="1"/>
    <col min="8965" max="8965" width="48.33203125" style="2" customWidth="1"/>
    <col min="8966" max="8966" width="4.88671875" style="2" customWidth="1"/>
    <col min="8967" max="8967" width="3.44140625" style="2" customWidth="1"/>
    <col min="8968" max="8970" width="22.6640625" style="2" customWidth="1"/>
    <col min="8971" max="9218" width="9.109375" style="2"/>
    <col min="9219" max="9219" width="2.6640625" style="2" customWidth="1"/>
    <col min="9220" max="9220" width="12.6640625" style="2" customWidth="1"/>
    <col min="9221" max="9221" width="48.33203125" style="2" customWidth="1"/>
    <col min="9222" max="9222" width="4.88671875" style="2" customWidth="1"/>
    <col min="9223" max="9223" width="3.44140625" style="2" customWidth="1"/>
    <col min="9224" max="9226" width="22.6640625" style="2" customWidth="1"/>
    <col min="9227" max="9474" width="9.109375" style="2"/>
    <col min="9475" max="9475" width="2.6640625" style="2" customWidth="1"/>
    <col min="9476" max="9476" width="12.6640625" style="2" customWidth="1"/>
    <col min="9477" max="9477" width="48.33203125" style="2" customWidth="1"/>
    <col min="9478" max="9478" width="4.88671875" style="2" customWidth="1"/>
    <col min="9479" max="9479" width="3.44140625" style="2" customWidth="1"/>
    <col min="9480" max="9482" width="22.6640625" style="2" customWidth="1"/>
    <col min="9483" max="9730" width="9.109375" style="2"/>
    <col min="9731" max="9731" width="2.6640625" style="2" customWidth="1"/>
    <col min="9732" max="9732" width="12.6640625" style="2" customWidth="1"/>
    <col min="9733" max="9733" width="48.33203125" style="2" customWidth="1"/>
    <col min="9734" max="9734" width="4.88671875" style="2" customWidth="1"/>
    <col min="9735" max="9735" width="3.44140625" style="2" customWidth="1"/>
    <col min="9736" max="9738" width="22.6640625" style="2" customWidth="1"/>
    <col min="9739" max="9986" width="9.109375" style="2"/>
    <col min="9987" max="9987" width="2.6640625" style="2" customWidth="1"/>
    <col min="9988" max="9988" width="12.6640625" style="2" customWidth="1"/>
    <col min="9989" max="9989" width="48.33203125" style="2" customWidth="1"/>
    <col min="9990" max="9990" width="4.88671875" style="2" customWidth="1"/>
    <col min="9991" max="9991" width="3.44140625" style="2" customWidth="1"/>
    <col min="9992" max="9994" width="22.6640625" style="2" customWidth="1"/>
    <col min="9995" max="10242" width="9.109375" style="2"/>
    <col min="10243" max="10243" width="2.6640625" style="2" customWidth="1"/>
    <col min="10244" max="10244" width="12.6640625" style="2" customWidth="1"/>
    <col min="10245" max="10245" width="48.33203125" style="2" customWidth="1"/>
    <col min="10246" max="10246" width="4.88671875" style="2" customWidth="1"/>
    <col min="10247" max="10247" width="3.44140625" style="2" customWidth="1"/>
    <col min="10248" max="10250" width="22.6640625" style="2" customWidth="1"/>
    <col min="10251" max="10498" width="9.109375" style="2"/>
    <col min="10499" max="10499" width="2.6640625" style="2" customWidth="1"/>
    <col min="10500" max="10500" width="12.6640625" style="2" customWidth="1"/>
    <col min="10501" max="10501" width="48.33203125" style="2" customWidth="1"/>
    <col min="10502" max="10502" width="4.88671875" style="2" customWidth="1"/>
    <col min="10503" max="10503" width="3.44140625" style="2" customWidth="1"/>
    <col min="10504" max="10506" width="22.6640625" style="2" customWidth="1"/>
    <col min="10507" max="10754" width="9.109375" style="2"/>
    <col min="10755" max="10755" width="2.6640625" style="2" customWidth="1"/>
    <col min="10756" max="10756" width="12.6640625" style="2" customWidth="1"/>
    <col min="10757" max="10757" width="48.33203125" style="2" customWidth="1"/>
    <col min="10758" max="10758" width="4.88671875" style="2" customWidth="1"/>
    <col min="10759" max="10759" width="3.44140625" style="2" customWidth="1"/>
    <col min="10760" max="10762" width="22.6640625" style="2" customWidth="1"/>
    <col min="10763" max="11010" width="9.109375" style="2"/>
    <col min="11011" max="11011" width="2.6640625" style="2" customWidth="1"/>
    <col min="11012" max="11012" width="12.6640625" style="2" customWidth="1"/>
    <col min="11013" max="11013" width="48.33203125" style="2" customWidth="1"/>
    <col min="11014" max="11014" width="4.88671875" style="2" customWidth="1"/>
    <col min="11015" max="11015" width="3.44140625" style="2" customWidth="1"/>
    <col min="11016" max="11018" width="22.6640625" style="2" customWidth="1"/>
    <col min="11019" max="11266" width="9.109375" style="2"/>
    <col min="11267" max="11267" width="2.6640625" style="2" customWidth="1"/>
    <col min="11268" max="11268" width="12.6640625" style="2" customWidth="1"/>
    <col min="11269" max="11269" width="48.33203125" style="2" customWidth="1"/>
    <col min="11270" max="11270" width="4.88671875" style="2" customWidth="1"/>
    <col min="11271" max="11271" width="3.44140625" style="2" customWidth="1"/>
    <col min="11272" max="11274" width="22.6640625" style="2" customWidth="1"/>
    <col min="11275" max="11522" width="9.109375" style="2"/>
    <col min="11523" max="11523" width="2.6640625" style="2" customWidth="1"/>
    <col min="11524" max="11524" width="12.6640625" style="2" customWidth="1"/>
    <col min="11525" max="11525" width="48.33203125" style="2" customWidth="1"/>
    <col min="11526" max="11526" width="4.88671875" style="2" customWidth="1"/>
    <col min="11527" max="11527" width="3.44140625" style="2" customWidth="1"/>
    <col min="11528" max="11530" width="22.6640625" style="2" customWidth="1"/>
    <col min="11531" max="11778" width="9.109375" style="2"/>
    <col min="11779" max="11779" width="2.6640625" style="2" customWidth="1"/>
    <col min="11780" max="11780" width="12.6640625" style="2" customWidth="1"/>
    <col min="11781" max="11781" width="48.33203125" style="2" customWidth="1"/>
    <col min="11782" max="11782" width="4.88671875" style="2" customWidth="1"/>
    <col min="11783" max="11783" width="3.44140625" style="2" customWidth="1"/>
    <col min="11784" max="11786" width="22.6640625" style="2" customWidth="1"/>
    <col min="11787" max="12034" width="9.109375" style="2"/>
    <col min="12035" max="12035" width="2.6640625" style="2" customWidth="1"/>
    <col min="12036" max="12036" width="12.6640625" style="2" customWidth="1"/>
    <col min="12037" max="12037" width="48.33203125" style="2" customWidth="1"/>
    <col min="12038" max="12038" width="4.88671875" style="2" customWidth="1"/>
    <col min="12039" max="12039" width="3.44140625" style="2" customWidth="1"/>
    <col min="12040" max="12042" width="22.6640625" style="2" customWidth="1"/>
    <col min="12043" max="12290" width="9.109375" style="2"/>
    <col min="12291" max="12291" width="2.6640625" style="2" customWidth="1"/>
    <col min="12292" max="12292" width="12.6640625" style="2" customWidth="1"/>
    <col min="12293" max="12293" width="48.33203125" style="2" customWidth="1"/>
    <col min="12294" max="12294" width="4.88671875" style="2" customWidth="1"/>
    <col min="12295" max="12295" width="3.44140625" style="2" customWidth="1"/>
    <col min="12296" max="12298" width="22.6640625" style="2" customWidth="1"/>
    <col min="12299" max="12546" width="9.109375" style="2"/>
    <col min="12547" max="12547" width="2.6640625" style="2" customWidth="1"/>
    <col min="12548" max="12548" width="12.6640625" style="2" customWidth="1"/>
    <col min="12549" max="12549" width="48.33203125" style="2" customWidth="1"/>
    <col min="12550" max="12550" width="4.88671875" style="2" customWidth="1"/>
    <col min="12551" max="12551" width="3.44140625" style="2" customWidth="1"/>
    <col min="12552" max="12554" width="22.6640625" style="2" customWidth="1"/>
    <col min="12555" max="12802" width="9.109375" style="2"/>
    <col min="12803" max="12803" width="2.6640625" style="2" customWidth="1"/>
    <col min="12804" max="12804" width="12.6640625" style="2" customWidth="1"/>
    <col min="12805" max="12805" width="48.33203125" style="2" customWidth="1"/>
    <col min="12806" max="12806" width="4.88671875" style="2" customWidth="1"/>
    <col min="12807" max="12807" width="3.44140625" style="2" customWidth="1"/>
    <col min="12808" max="12810" width="22.6640625" style="2" customWidth="1"/>
    <col min="12811" max="13058" width="9.109375" style="2"/>
    <col min="13059" max="13059" width="2.6640625" style="2" customWidth="1"/>
    <col min="13060" max="13060" width="12.6640625" style="2" customWidth="1"/>
    <col min="13061" max="13061" width="48.33203125" style="2" customWidth="1"/>
    <col min="13062" max="13062" width="4.88671875" style="2" customWidth="1"/>
    <col min="13063" max="13063" width="3.44140625" style="2" customWidth="1"/>
    <col min="13064" max="13066" width="22.6640625" style="2" customWidth="1"/>
    <col min="13067" max="13314" width="9.109375" style="2"/>
    <col min="13315" max="13315" width="2.6640625" style="2" customWidth="1"/>
    <col min="13316" max="13316" width="12.6640625" style="2" customWidth="1"/>
    <col min="13317" max="13317" width="48.33203125" style="2" customWidth="1"/>
    <col min="13318" max="13318" width="4.88671875" style="2" customWidth="1"/>
    <col min="13319" max="13319" width="3.44140625" style="2" customWidth="1"/>
    <col min="13320" max="13322" width="22.6640625" style="2" customWidth="1"/>
    <col min="13323" max="13570" width="9.109375" style="2"/>
    <col min="13571" max="13571" width="2.6640625" style="2" customWidth="1"/>
    <col min="13572" max="13572" width="12.6640625" style="2" customWidth="1"/>
    <col min="13573" max="13573" width="48.33203125" style="2" customWidth="1"/>
    <col min="13574" max="13574" width="4.88671875" style="2" customWidth="1"/>
    <col min="13575" max="13575" width="3.44140625" style="2" customWidth="1"/>
    <col min="13576" max="13578" width="22.6640625" style="2" customWidth="1"/>
    <col min="13579" max="13826" width="9.109375" style="2"/>
    <col min="13827" max="13827" width="2.6640625" style="2" customWidth="1"/>
    <col min="13828" max="13828" width="12.6640625" style="2" customWidth="1"/>
    <col min="13829" max="13829" width="48.33203125" style="2" customWidth="1"/>
    <col min="13830" max="13830" width="4.88671875" style="2" customWidth="1"/>
    <col min="13831" max="13831" width="3.44140625" style="2" customWidth="1"/>
    <col min="13832" max="13834" width="22.6640625" style="2" customWidth="1"/>
    <col min="13835" max="14082" width="9.109375" style="2"/>
    <col min="14083" max="14083" width="2.6640625" style="2" customWidth="1"/>
    <col min="14084" max="14084" width="12.6640625" style="2" customWidth="1"/>
    <col min="14085" max="14085" width="48.33203125" style="2" customWidth="1"/>
    <col min="14086" max="14086" width="4.88671875" style="2" customWidth="1"/>
    <col min="14087" max="14087" width="3.44140625" style="2" customWidth="1"/>
    <col min="14088" max="14090" width="22.6640625" style="2" customWidth="1"/>
    <col min="14091" max="14338" width="9.109375" style="2"/>
    <col min="14339" max="14339" width="2.6640625" style="2" customWidth="1"/>
    <col min="14340" max="14340" width="12.6640625" style="2" customWidth="1"/>
    <col min="14341" max="14341" width="48.33203125" style="2" customWidth="1"/>
    <col min="14342" max="14342" width="4.88671875" style="2" customWidth="1"/>
    <col min="14343" max="14343" width="3.44140625" style="2" customWidth="1"/>
    <col min="14344" max="14346" width="22.6640625" style="2" customWidth="1"/>
    <col min="14347" max="14594" width="9.109375" style="2"/>
    <col min="14595" max="14595" width="2.6640625" style="2" customWidth="1"/>
    <col min="14596" max="14596" width="12.6640625" style="2" customWidth="1"/>
    <col min="14597" max="14597" width="48.33203125" style="2" customWidth="1"/>
    <col min="14598" max="14598" width="4.88671875" style="2" customWidth="1"/>
    <col min="14599" max="14599" width="3.44140625" style="2" customWidth="1"/>
    <col min="14600" max="14602" width="22.6640625" style="2" customWidth="1"/>
    <col min="14603" max="14850" width="9.109375" style="2"/>
    <col min="14851" max="14851" width="2.6640625" style="2" customWidth="1"/>
    <col min="14852" max="14852" width="12.6640625" style="2" customWidth="1"/>
    <col min="14853" max="14853" width="48.33203125" style="2" customWidth="1"/>
    <col min="14854" max="14854" width="4.88671875" style="2" customWidth="1"/>
    <col min="14855" max="14855" width="3.44140625" style="2" customWidth="1"/>
    <col min="14856" max="14858" width="22.6640625" style="2" customWidth="1"/>
    <col min="14859" max="15106" width="9.109375" style="2"/>
    <col min="15107" max="15107" width="2.6640625" style="2" customWidth="1"/>
    <col min="15108" max="15108" width="12.6640625" style="2" customWidth="1"/>
    <col min="15109" max="15109" width="48.33203125" style="2" customWidth="1"/>
    <col min="15110" max="15110" width="4.88671875" style="2" customWidth="1"/>
    <col min="15111" max="15111" width="3.44140625" style="2" customWidth="1"/>
    <col min="15112" max="15114" width="22.6640625" style="2" customWidth="1"/>
    <col min="15115" max="15362" width="9.109375" style="2"/>
    <col min="15363" max="15363" width="2.6640625" style="2" customWidth="1"/>
    <col min="15364" max="15364" width="12.6640625" style="2" customWidth="1"/>
    <col min="15365" max="15365" width="48.33203125" style="2" customWidth="1"/>
    <col min="15366" max="15366" width="4.88671875" style="2" customWidth="1"/>
    <col min="15367" max="15367" width="3.44140625" style="2" customWidth="1"/>
    <col min="15368" max="15370" width="22.6640625" style="2" customWidth="1"/>
    <col min="15371" max="15618" width="9.109375" style="2"/>
    <col min="15619" max="15619" width="2.6640625" style="2" customWidth="1"/>
    <col min="15620" max="15620" width="12.6640625" style="2" customWidth="1"/>
    <col min="15621" max="15621" width="48.33203125" style="2" customWidth="1"/>
    <col min="15622" max="15622" width="4.88671875" style="2" customWidth="1"/>
    <col min="15623" max="15623" width="3.44140625" style="2" customWidth="1"/>
    <col min="15624" max="15626" width="22.6640625" style="2" customWidth="1"/>
    <col min="15627" max="15874" width="9.109375" style="2"/>
    <col min="15875" max="15875" width="2.6640625" style="2" customWidth="1"/>
    <col min="15876" max="15876" width="12.6640625" style="2" customWidth="1"/>
    <col min="15877" max="15877" width="48.33203125" style="2" customWidth="1"/>
    <col min="15878" max="15878" width="4.88671875" style="2" customWidth="1"/>
    <col min="15879" max="15879" width="3.44140625" style="2" customWidth="1"/>
    <col min="15880" max="15882" width="22.6640625" style="2" customWidth="1"/>
    <col min="15883" max="16130" width="9.109375" style="2"/>
    <col min="16131" max="16131" width="2.6640625" style="2" customWidth="1"/>
    <col min="16132" max="16132" width="12.6640625" style="2" customWidth="1"/>
    <col min="16133" max="16133" width="48.33203125" style="2" customWidth="1"/>
    <col min="16134" max="16134" width="4.88671875" style="2" customWidth="1"/>
    <col min="16135" max="16135" width="3.44140625" style="2" customWidth="1"/>
    <col min="16136" max="16138" width="22.6640625" style="2" customWidth="1"/>
    <col min="16139" max="16384" width="9.109375" style="2"/>
  </cols>
  <sheetData>
    <row r="1" spans="1:14" ht="8.25" customHeight="1" thickBot="1">
      <c r="A1" s="7"/>
      <c r="B1" s="7"/>
      <c r="C1" s="7"/>
      <c r="D1" s="7"/>
      <c r="E1" s="7"/>
      <c r="F1" s="7"/>
      <c r="G1" s="8"/>
      <c r="H1" s="8"/>
      <c r="I1" s="7"/>
      <c r="J1" s="7"/>
      <c r="K1" s="7"/>
    </row>
    <row r="2" spans="1:14" ht="33" customHeight="1" thickBot="1">
      <c r="A2" s="7"/>
      <c r="B2" s="745" t="s">
        <v>18</v>
      </c>
      <c r="C2" s="746"/>
      <c r="D2" s="746"/>
      <c r="E2" s="746"/>
      <c r="F2" s="746"/>
      <c r="G2" s="746"/>
      <c r="H2" s="746"/>
      <c r="I2" s="746"/>
      <c r="J2" s="746"/>
      <c r="K2" s="747"/>
    </row>
    <row r="3" spans="1:14" ht="14.4">
      <c r="A3" s="7"/>
      <c r="B3" s="366" t="s">
        <v>225</v>
      </c>
      <c r="C3" s="751" t="str">
        <f>+Building_Data!B2</f>
        <v>Sample Building XXX</v>
      </c>
      <c r="D3" s="751"/>
      <c r="E3" s="751"/>
      <c r="F3" s="751"/>
      <c r="G3" s="751"/>
      <c r="H3" s="370" t="s">
        <v>22</v>
      </c>
      <c r="I3" s="365">
        <f>+Building_Data!$C$6</f>
        <v>5200</v>
      </c>
      <c r="J3" s="362" t="str">
        <f>+Building_Data!C2</f>
        <v>RPUID:</v>
      </c>
      <c r="K3" s="668" t="str">
        <f>+Building_Data!D2</f>
        <v>xxx</v>
      </c>
    </row>
    <row r="4" spans="1:14" ht="14.4">
      <c r="A4" s="7"/>
      <c r="B4" s="367" t="s">
        <v>479</v>
      </c>
      <c r="C4" s="750" t="str">
        <f>CONCATENATE(+Building_Data!B3)</f>
        <v>Repairs and Renovations to Building XXX</v>
      </c>
      <c r="D4" s="750"/>
      <c r="E4" s="750"/>
      <c r="F4" s="750"/>
      <c r="G4" s="750"/>
      <c r="H4" s="371" t="s">
        <v>478</v>
      </c>
      <c r="I4" s="369" t="str">
        <f>CONCATENATE(TEXT(Building_Data!E6,"#,###")," ",Building_Data!F6)</f>
        <v xml:space="preserve"> kUSD</v>
      </c>
      <c r="J4" s="363" t="str">
        <f>+Building_Data!C3</f>
        <v>Project #:</v>
      </c>
      <c r="K4" s="438" t="str">
        <f>+Building_Data!D3</f>
        <v>XXXXX</v>
      </c>
    </row>
    <row r="5" spans="1:14" ht="14.4" thickBot="1">
      <c r="A5" s="7"/>
      <c r="B5" s="368" t="str">
        <f>+Building_Data!A4</f>
        <v>Inst.:</v>
      </c>
      <c r="C5" s="748" t="str">
        <f>CONCATENATE(+Building_Data!B4," - ",Building_Data!B5,", ",Building_Data!D5,", ",Building_Data!F5)</f>
        <v>Ft. Bragg - Fayetteville, NC, USA</v>
      </c>
      <c r="D5" s="749"/>
      <c r="E5" s="749"/>
      <c r="F5" s="749"/>
      <c r="G5" s="749"/>
      <c r="H5" s="749"/>
      <c r="I5" s="749"/>
      <c r="J5" s="364" t="str">
        <f>+Building_Data!C4</f>
        <v>Inst. Code:</v>
      </c>
      <c r="K5" s="669">
        <f>+Building_Data!D4</f>
        <v>37225</v>
      </c>
    </row>
    <row r="6" spans="1:14" ht="15" customHeight="1">
      <c r="A6" s="6"/>
      <c r="B6" s="828" t="s">
        <v>607</v>
      </c>
      <c r="C6" s="752"/>
      <c r="D6" s="752"/>
      <c r="E6" s="752"/>
      <c r="F6" s="752"/>
      <c r="G6" s="752"/>
      <c r="H6" s="752"/>
      <c r="I6" s="752"/>
      <c r="J6" s="752"/>
      <c r="K6" s="753"/>
    </row>
    <row r="7" spans="1:14">
      <c r="A7" s="6"/>
      <c r="B7" s="754"/>
      <c r="C7" s="755"/>
      <c r="D7" s="755"/>
      <c r="E7" s="755"/>
      <c r="F7" s="755"/>
      <c r="G7" s="755"/>
      <c r="H7" s="755"/>
      <c r="I7" s="755"/>
      <c r="J7" s="755"/>
      <c r="K7" s="756"/>
    </row>
    <row r="8" spans="1:14" ht="37.799999999999997" customHeight="1" thickBot="1">
      <c r="A8" s="6"/>
      <c r="B8" s="757"/>
      <c r="C8" s="758"/>
      <c r="D8" s="758"/>
      <c r="E8" s="758"/>
      <c r="F8" s="758"/>
      <c r="G8" s="758"/>
      <c r="H8" s="758"/>
      <c r="I8" s="758"/>
      <c r="J8" s="758"/>
      <c r="K8" s="759"/>
    </row>
    <row r="9" spans="1:14" ht="16.2" thickBot="1">
      <c r="A9" s="6"/>
      <c r="B9" s="760" t="s">
        <v>573</v>
      </c>
      <c r="C9" s="761"/>
      <c r="D9" s="761"/>
      <c r="E9" s="761"/>
      <c r="F9" s="761"/>
      <c r="G9" s="761"/>
      <c r="H9" s="762"/>
      <c r="I9" s="762"/>
      <c r="J9" s="762"/>
      <c r="K9" s="763"/>
    </row>
    <row r="10" spans="1:14" ht="14.4">
      <c r="A10" s="6"/>
      <c r="B10" s="429" t="s">
        <v>475</v>
      </c>
      <c r="C10" s="424"/>
      <c r="D10" s="425"/>
      <c r="E10" s="423"/>
      <c r="F10" s="423"/>
      <c r="G10" s="424"/>
      <c r="H10" s="112"/>
      <c r="I10" s="106"/>
      <c r="J10" s="106"/>
      <c r="K10" s="14"/>
    </row>
    <row r="11" spans="1:14" ht="15" thickBot="1">
      <c r="A11" s="6"/>
      <c r="B11" s="430" t="s">
        <v>88</v>
      </c>
      <c r="C11" s="48">
        <f>+Mandates_Worksheet!$B$40</f>
        <v>1</v>
      </c>
      <c r="D11" s="349">
        <v>0.85</v>
      </c>
      <c r="E11" s="358"/>
      <c r="F11" s="358"/>
      <c r="G11" s="358"/>
      <c r="H11" s="113"/>
      <c r="I11" s="107"/>
      <c r="J11" s="107"/>
      <c r="K11" s="104"/>
    </row>
    <row r="12" spans="1:14" ht="15" thickTop="1">
      <c r="A12" s="6"/>
      <c r="B12" s="431" t="s">
        <v>89</v>
      </c>
      <c r="C12" s="48">
        <f>+Mandates_Worksheet!$D$40</f>
        <v>1</v>
      </c>
      <c r="D12" s="721" t="s">
        <v>593</v>
      </c>
      <c r="E12" s="358"/>
      <c r="F12" s="358"/>
      <c r="G12" s="358"/>
      <c r="H12" s="113"/>
      <c r="I12" s="108"/>
      <c r="J12" s="108"/>
      <c r="K12" s="105"/>
    </row>
    <row r="13" spans="1:14" ht="14.4">
      <c r="A13" s="6"/>
      <c r="B13" s="430" t="s">
        <v>490</v>
      </c>
      <c r="C13" s="50">
        <f>+IF(HPSB_Guiding_Principles_Wksht!A17="YES",1,0.3)</f>
        <v>1</v>
      </c>
      <c r="D13" s="346" t="str">
        <f>+Building_Data!F3</f>
        <v>N/A</v>
      </c>
      <c r="E13" s="358"/>
      <c r="F13" s="358"/>
      <c r="G13" s="358"/>
      <c r="H13" s="113"/>
      <c r="I13" s="108"/>
      <c r="J13" s="108"/>
      <c r="K13" s="105"/>
    </row>
    <row r="14" spans="1:14" ht="15" thickBot="1">
      <c r="A14" s="6"/>
      <c r="B14" s="430" t="s">
        <v>491</v>
      </c>
      <c r="C14" s="50">
        <f>+HPSB_Guiding_Principles_Wksht!B12/HPSB_Guiding_Principles_Wksht!F12</f>
        <v>1</v>
      </c>
      <c r="D14" s="345" t="str">
        <f>+Building_Data!F2</f>
        <v>N/A</v>
      </c>
      <c r="E14" s="358"/>
      <c r="F14" s="358"/>
      <c r="G14" s="358"/>
      <c r="H14" s="113"/>
      <c r="I14" s="108"/>
      <c r="J14" s="108"/>
      <c r="K14" s="105"/>
    </row>
    <row r="15" spans="1:14" ht="15" thickTop="1">
      <c r="A15" s="6"/>
      <c r="B15" s="430" t="s">
        <v>492</v>
      </c>
      <c r="C15" s="50">
        <f>+HPSB_Guiding_Principles_Wksht!B16/HPSB_Guiding_Principles_Wksht!F16</f>
        <v>1</v>
      </c>
      <c r="D15" s="350">
        <v>0.7</v>
      </c>
      <c r="E15" s="358"/>
      <c r="F15" s="358"/>
      <c r="G15" s="113"/>
      <c r="H15" s="113"/>
      <c r="I15" s="109"/>
      <c r="J15" s="109"/>
      <c r="K15" s="54"/>
    </row>
    <row r="16" spans="1:14" ht="14.4">
      <c r="A16" s="6"/>
      <c r="B16" s="430" t="s">
        <v>493</v>
      </c>
      <c r="C16" s="50">
        <f>+HPSB_Guiding_Principles_Wksht!B51/HPSB_Guiding_Principles_Wksht!F51</f>
        <v>0.8571428571428571</v>
      </c>
      <c r="D16" s="426" t="s">
        <v>226</v>
      </c>
      <c r="E16" s="358"/>
      <c r="F16" s="358"/>
      <c r="G16" s="113"/>
      <c r="H16" s="113"/>
      <c r="I16" s="109"/>
      <c r="J16" s="109"/>
      <c r="K16" s="54"/>
      <c r="M16" s="10"/>
      <c r="N16" s="10"/>
    </row>
    <row r="17" spans="1:14" ht="14.4">
      <c r="A17" s="6"/>
      <c r="B17" s="430" t="s">
        <v>494</v>
      </c>
      <c r="C17" s="50">
        <f>+HPSB_Guiding_Principles_Wksht!B64/HPSB_Guiding_Principles_Wksht!F64</f>
        <v>0.77777777777777779</v>
      </c>
      <c r="D17" s="48">
        <v>1</v>
      </c>
      <c r="E17" s="358"/>
      <c r="F17" s="358"/>
      <c r="G17" s="113"/>
      <c r="H17" s="113"/>
      <c r="I17" s="109"/>
      <c r="J17" s="109"/>
      <c r="K17" s="54"/>
      <c r="M17" s="10"/>
      <c r="N17" s="10"/>
    </row>
    <row r="18" spans="1:14" ht="14.4">
      <c r="A18" s="6"/>
      <c r="B18" s="430" t="s">
        <v>495</v>
      </c>
      <c r="C18" s="50">
        <f>+HPSB_Guiding_Principles_Wksht!B75/HPSB_Guiding_Principles_Wksht!F75</f>
        <v>0.83333333333333337</v>
      </c>
      <c r="D18" s="48">
        <f>+D15</f>
        <v>0.7</v>
      </c>
      <c r="E18" s="358"/>
      <c r="F18" s="358"/>
      <c r="G18" s="113"/>
      <c r="H18" s="113"/>
      <c r="I18" s="109"/>
      <c r="J18" s="109"/>
      <c r="K18" s="54"/>
      <c r="M18" s="10"/>
      <c r="N18" s="10"/>
    </row>
    <row r="19" spans="1:14" ht="15" thickBot="1">
      <c r="A19" s="6"/>
      <c r="B19" s="432" t="s">
        <v>537</v>
      </c>
      <c r="C19" s="51">
        <f>+AVERAGE(C14:C18)</f>
        <v>0.8936507936507937</v>
      </c>
      <c r="D19" s="49">
        <v>0.05</v>
      </c>
      <c r="E19" s="427"/>
      <c r="F19" s="427"/>
      <c r="G19" s="115"/>
      <c r="H19" s="115"/>
      <c r="I19" s="110"/>
      <c r="J19" s="110"/>
      <c r="K19" s="111"/>
      <c r="M19" s="13"/>
      <c r="N19" s="10"/>
    </row>
    <row r="20" spans="1:14" ht="16.2" thickBot="1">
      <c r="A20" s="6"/>
      <c r="B20" s="760" t="s">
        <v>580</v>
      </c>
      <c r="C20" s="761"/>
      <c r="D20" s="761"/>
      <c r="E20" s="761"/>
      <c r="F20" s="761"/>
      <c r="G20" s="761"/>
      <c r="H20" s="762"/>
      <c r="I20" s="762"/>
      <c r="J20" s="762"/>
      <c r="K20" s="763"/>
      <c r="M20" s="13"/>
      <c r="N20" s="10"/>
    </row>
    <row r="21" spans="1:14" ht="14.4">
      <c r="A21" s="6"/>
      <c r="B21" s="347" t="s">
        <v>571</v>
      </c>
      <c r="C21" s="348"/>
      <c r="D21" s="428"/>
      <c r="E21" s="736" t="s">
        <v>579</v>
      </c>
      <c r="F21" s="737"/>
      <c r="G21" s="738"/>
      <c r="H21" s="764" t="s">
        <v>543</v>
      </c>
      <c r="I21" s="765"/>
      <c r="J21" s="765"/>
      <c r="K21" s="766"/>
      <c r="M21" s="10"/>
      <c r="N21" s="10"/>
    </row>
    <row r="22" spans="1:14" ht="14.4">
      <c r="A22" s="6"/>
      <c r="B22" s="732" t="str">
        <f>CONCATENATE("Target (",TEXT(Building_Data!$C$14,"0%")," Savings):")</f>
        <v>Target (30% Savings):</v>
      </c>
      <c r="C22" s="733"/>
      <c r="D22" s="646">
        <f>+Building_Data!C13/Building_Data!C6</f>
        <v>0</v>
      </c>
      <c r="E22" s="739" t="e">
        <f>CONCATENATE(TEXT(Building_Data!$D14,"0%")," Savings from ",Building_Data!$C$17)</f>
        <v>#DIV/0!</v>
      </c>
      <c r="F22" s="740"/>
      <c r="G22" s="738"/>
      <c r="H22" s="605" t="s">
        <v>0</v>
      </c>
      <c r="I22" s="606" t="s">
        <v>3</v>
      </c>
      <c r="J22" s="607" t="s">
        <v>111</v>
      </c>
      <c r="K22" s="608" t="s">
        <v>481</v>
      </c>
      <c r="M22" s="10"/>
      <c r="N22" s="10"/>
    </row>
    <row r="23" spans="1:14" ht="15" thickBot="1">
      <c r="A23" s="6"/>
      <c r="B23" s="734" t="s">
        <v>20</v>
      </c>
      <c r="C23" s="735"/>
      <c r="D23" s="651">
        <f>+Building_Data!D13/Building_Data!C6</f>
        <v>0</v>
      </c>
      <c r="E23" s="767" t="str">
        <f>CONCATENATE("(",FIXED(Building_Data!$C$13-Building_Data!$D$13,0,0)," kBTU/yr",")")</f>
        <v>(0 kBTU/yr)</v>
      </c>
      <c r="F23" s="768"/>
      <c r="G23" s="738"/>
      <c r="H23" s="629" t="s">
        <v>567</v>
      </c>
      <c r="I23" s="609"/>
      <c r="J23" s="353"/>
      <c r="K23" s="354"/>
      <c r="M23" s="10"/>
      <c r="N23" s="10"/>
    </row>
    <row r="24" spans="1:14" ht="15" thickBot="1">
      <c r="A24" s="6"/>
      <c r="B24" s="732" t="s">
        <v>21</v>
      </c>
      <c r="C24" s="733"/>
      <c r="D24" s="648">
        <f>+Building_Data!E13/Building_Data!C6</f>
        <v>0</v>
      </c>
      <c r="E24" s="736" t="s">
        <v>584</v>
      </c>
      <c r="F24" s="737"/>
      <c r="G24" s="738"/>
      <c r="H24" s="643">
        <v>1</v>
      </c>
      <c r="I24" s="396">
        <f>+Building_Data!C13</f>
        <v>0</v>
      </c>
      <c r="J24" s="630">
        <f>+Building_Data!D13</f>
        <v>0</v>
      </c>
      <c r="K24" s="587">
        <f>+Building_Data!E13</f>
        <v>0</v>
      </c>
    </row>
    <row r="25" spans="1:14" ht="15" thickBot="1">
      <c r="A25" s="6"/>
      <c r="B25" s="347" t="s">
        <v>572</v>
      </c>
      <c r="C25" s="348"/>
      <c r="D25" s="428"/>
      <c r="E25" s="739" t="e">
        <f>CONCATENATE(TEXT(Building_Data!$D$28,"0%")," Savings from ",Building_Data!$C$17)</f>
        <v>#DIV/0!</v>
      </c>
      <c r="F25" s="740"/>
      <c r="G25" s="738"/>
      <c r="H25" s="629" t="s">
        <v>568</v>
      </c>
      <c r="I25" s="586"/>
      <c r="J25" s="353"/>
      <c r="K25" s="354"/>
    </row>
    <row r="26" spans="1:14" ht="15" thickBot="1">
      <c r="A26" s="6"/>
      <c r="B26" s="732" t="str">
        <f>CONCATENATE("Target (",TEXT(Building_Data!$C$28,"0%")," Savings):")</f>
        <v>Target (55% Savings):</v>
      </c>
      <c r="C26" s="733"/>
      <c r="D26" s="646">
        <f>+Building_Data!C27/Building_Data!C6</f>
        <v>0</v>
      </c>
      <c r="E26" s="767" t="str">
        <f>CONCATENATE("(",FIXED(Building_Data!$C$27-Building_Data!$D$27,0,0)," kBTU/yr",")")</f>
        <v>(0 kBTU/yr)</v>
      </c>
      <c r="F26" s="768"/>
      <c r="G26" s="738"/>
      <c r="H26" s="643" t="e">
        <f>+J26/J24</f>
        <v>#DIV/0!</v>
      </c>
      <c r="I26" s="396">
        <f>+Building_Data!C27</f>
        <v>0</v>
      </c>
      <c r="J26" s="630">
        <f>+Building_Data!D27</f>
        <v>0</v>
      </c>
      <c r="K26" s="587">
        <f>+Building_Data!E27</f>
        <v>0</v>
      </c>
    </row>
    <row r="27" spans="1:14" ht="15" thickBot="1">
      <c r="A27" s="6"/>
      <c r="B27" s="734" t="s">
        <v>20</v>
      </c>
      <c r="C27" s="735"/>
      <c r="D27" s="651">
        <f>+Building_Data!D27/Building_Data!C6</f>
        <v>0</v>
      </c>
      <c r="E27" s="741" t="s">
        <v>581</v>
      </c>
      <c r="F27" s="737"/>
      <c r="G27" s="738"/>
      <c r="H27" s="629" t="s">
        <v>569</v>
      </c>
      <c r="I27" s="586"/>
      <c r="J27" s="353"/>
      <c r="K27" s="354"/>
    </row>
    <row r="28" spans="1:14" ht="15" thickBot="1">
      <c r="A28" s="6"/>
      <c r="B28" s="742" t="s">
        <v>21</v>
      </c>
      <c r="C28" s="743"/>
      <c r="D28" s="647">
        <f>+Building_Data!E27/Building_Data!C6</f>
        <v>0</v>
      </c>
      <c r="E28" s="739" t="e">
        <f>CONCATENATE(TEXT(Building_Data!D75,"0%")," of Total Energy Demand")</f>
        <v>#DIV/0!</v>
      </c>
      <c r="F28" s="740"/>
      <c r="G28" s="738"/>
      <c r="H28" s="643" t="e">
        <f>+J28/J24</f>
        <v>#DIV/0!</v>
      </c>
      <c r="I28" s="396">
        <f>+Building_Data!C38</f>
        <v>0</v>
      </c>
      <c r="J28" s="630">
        <f>+Building_Data!D38</f>
        <v>0</v>
      </c>
      <c r="K28" s="587">
        <f>+Building_Data!E38</f>
        <v>0</v>
      </c>
    </row>
    <row r="29" spans="1:14" ht="15" thickBot="1">
      <c r="A29" s="6"/>
      <c r="B29" s="347" t="s">
        <v>574</v>
      </c>
      <c r="C29" s="106"/>
      <c r="D29" s="653"/>
      <c r="E29" s="729" t="str">
        <f>CONCATENATE(FIXED(Building_Data!$D$72,0,0)," kBTU produced per year")</f>
        <v>0 kBTU produced per year</v>
      </c>
      <c r="F29" s="730"/>
      <c r="G29" s="731"/>
      <c r="H29" s="629" t="s">
        <v>546</v>
      </c>
      <c r="I29" s="586"/>
      <c r="J29" s="353"/>
      <c r="K29" s="354"/>
    </row>
    <row r="30" spans="1:14" ht="15" thickBot="1">
      <c r="A30" s="6"/>
      <c r="B30" s="732" t="str">
        <f>CONCATENATE("Target (",TEXT(Building_Data!$C$91,"0%"),"):")</f>
        <v>Target (20%):</v>
      </c>
      <c r="C30" s="733"/>
      <c r="D30" s="644">
        <f>+Building_Data!C90/Building_Data!C6</f>
        <v>5.7692307692307692</v>
      </c>
      <c r="E30" s="744" t="s">
        <v>2</v>
      </c>
      <c r="F30" s="737"/>
      <c r="G30" s="738"/>
      <c r="H30" s="643" t="e">
        <f>+J30/J24</f>
        <v>#DIV/0!</v>
      </c>
      <c r="I30" s="396">
        <f>+Building_Data!C74</f>
        <v>0</v>
      </c>
      <c r="J30" s="630">
        <f>+Building_Data!D74</f>
        <v>0</v>
      </c>
      <c r="K30" s="587">
        <f>+Building_Data!E74</f>
        <v>0</v>
      </c>
    </row>
    <row r="31" spans="1:14" ht="15" thickBot="1">
      <c r="A31" s="6"/>
      <c r="B31" s="734" t="s">
        <v>20</v>
      </c>
      <c r="C31" s="735"/>
      <c r="D31" s="652">
        <f>+Building_Data!D90/Building_Data!C6</f>
        <v>3.8461538461538463</v>
      </c>
      <c r="E31" s="739" t="str">
        <f>CONCATENATE(TEXT(Building_Data!D91,"0%")," Savings from ",Building_Data!$C$78)</f>
        <v>33% Savings from IPC 2006</v>
      </c>
      <c r="F31" s="740"/>
      <c r="G31" s="738"/>
      <c r="H31" s="631" t="s">
        <v>570</v>
      </c>
      <c r="I31" s="586"/>
      <c r="J31" s="632"/>
      <c r="K31" s="633"/>
    </row>
    <row r="32" spans="1:14" ht="15" thickBot="1">
      <c r="A32" s="6"/>
      <c r="B32" s="732" t="s">
        <v>21</v>
      </c>
      <c r="C32" s="733"/>
      <c r="D32" s="645">
        <f>+Building_Data!E90/Building_Data!C6</f>
        <v>0</v>
      </c>
      <c r="E32" s="729" t="str">
        <f>CONCATENATE(FIXED(Building_Data!$C$90-Building_Data!$D$90,0,0)," gallons/yr")</f>
        <v>10,000 gallons/yr</v>
      </c>
      <c r="F32" s="730"/>
      <c r="G32" s="731"/>
      <c r="H32" s="634"/>
      <c r="I32" s="635">
        <f>+Building_Data!C73</f>
        <v>0</v>
      </c>
      <c r="J32" s="636">
        <f>+Building_Data!D73</f>
        <v>0</v>
      </c>
      <c r="K32" s="637">
        <f>+Building_Data!E73</f>
        <v>0</v>
      </c>
    </row>
    <row r="33" spans="1:11" ht="13.8" thickBot="1">
      <c r="A33" s="6"/>
      <c r="B33" s="724" t="str">
        <f>CONCATENATE("POC: ", Building_Data!B101, "   Phone: ",Building_Data!C101, "   eMail: ", Building_Data!D101)</f>
        <v>POC: Project Manager Name, CESAS-PM-M   Phone: 912-652-XXXX   eMail: XXXXX@usace.army.mil</v>
      </c>
      <c r="C33" s="725"/>
      <c r="D33" s="725"/>
      <c r="E33" s="725"/>
      <c r="F33" s="725"/>
      <c r="G33" s="726"/>
      <c r="H33" s="726"/>
      <c r="I33" s="726"/>
      <c r="J33" s="726"/>
      <c r="K33" s="677">
        <f>+Building_Data!F1</f>
        <v>41365</v>
      </c>
    </row>
    <row r="34" spans="1:11">
      <c r="B34" s="722" t="s">
        <v>594</v>
      </c>
      <c r="K34" s="723" t="s">
        <v>595</v>
      </c>
    </row>
    <row r="63" spans="2:11" ht="14.4">
      <c r="B63" s="480"/>
      <c r="C63" s="120"/>
      <c r="D63" s="120"/>
    </row>
    <row r="64" spans="2:11" ht="14.4">
      <c r="B64" s="5" t="s">
        <v>538</v>
      </c>
      <c r="C64" s="4"/>
      <c r="D64" s="4"/>
      <c r="E64" s="4"/>
      <c r="F64" s="4"/>
      <c r="G64" s="4"/>
      <c r="H64" s="4"/>
      <c r="I64" s="4"/>
      <c r="J64" s="4"/>
      <c r="K64" s="4"/>
    </row>
    <row r="65" spans="2:11" ht="14.4">
      <c r="E65" s="119"/>
      <c r="F65" s="120"/>
      <c r="G65" s="120"/>
      <c r="H65" s="120"/>
      <c r="I65" s="119"/>
      <c r="J65" s="120"/>
      <c r="K65" s="119"/>
    </row>
    <row r="66" spans="2:11">
      <c r="E66" s="120"/>
      <c r="F66" s="120"/>
      <c r="G66" s="120"/>
      <c r="H66" s="120"/>
      <c r="I66" s="121"/>
      <c r="J66" s="120"/>
      <c r="K66" s="120"/>
    </row>
    <row r="67" spans="2:11" ht="14.4">
      <c r="B67" s="12" t="s">
        <v>14</v>
      </c>
      <c r="E67" s="476"/>
      <c r="F67" s="120"/>
      <c r="G67" s="120"/>
      <c r="H67" s="120"/>
      <c r="I67" s="121"/>
      <c r="J67" s="120"/>
      <c r="K67" s="120"/>
    </row>
    <row r="68" spans="2:11" ht="14.4">
      <c r="B68" s="3" t="s">
        <v>11</v>
      </c>
      <c r="E68" s="476"/>
      <c r="F68" s="120"/>
      <c r="G68" s="120"/>
      <c r="H68" s="120"/>
      <c r="I68" s="121"/>
      <c r="J68" s="120"/>
      <c r="K68" s="120"/>
    </row>
    <row r="69" spans="2:11" ht="14.4">
      <c r="B69" s="2" t="s">
        <v>13</v>
      </c>
      <c r="C69" s="728">
        <f>IF((Building_Data!C27-Building_Data!D27)&lt;0,0,Building_Data!C27-Building_Data!D27)</f>
        <v>0</v>
      </c>
      <c r="D69" s="728"/>
      <c r="E69" s="478" t="e">
        <f>+C69/$C$72</f>
        <v>#DIV/0!</v>
      </c>
      <c r="F69" s="120"/>
      <c r="G69" s="120"/>
      <c r="H69" s="120"/>
      <c r="I69" s="121"/>
      <c r="J69" s="120"/>
      <c r="K69" s="122"/>
    </row>
    <row r="70" spans="2:11" ht="14.4">
      <c r="B70" s="114" t="s">
        <v>12</v>
      </c>
      <c r="C70" s="728">
        <f>+Building_Data!D40</f>
        <v>0</v>
      </c>
      <c r="D70" s="728"/>
      <c r="E70" s="478" t="e">
        <f>+C70/$C$72</f>
        <v>#DIV/0!</v>
      </c>
      <c r="F70" s="120"/>
      <c r="G70" s="120"/>
      <c r="H70" s="120"/>
      <c r="I70" s="121"/>
      <c r="J70" s="120"/>
      <c r="K70" s="122"/>
    </row>
    <row r="71" spans="2:11" ht="14.4">
      <c r="B71" s="114" t="s">
        <v>229</v>
      </c>
      <c r="C71" s="727">
        <f>+Building_Data!D74</f>
        <v>0</v>
      </c>
      <c r="D71" s="727"/>
      <c r="E71" s="479" t="e">
        <f>+C71/$C$72</f>
        <v>#DIV/0!</v>
      </c>
      <c r="F71" s="120"/>
      <c r="G71" s="120"/>
      <c r="H71" s="120"/>
      <c r="I71" s="123"/>
      <c r="J71" s="120"/>
      <c r="K71" s="120"/>
    </row>
    <row r="72" spans="2:11">
      <c r="C72" s="728">
        <f>SUM(C69:D71)</f>
        <v>0</v>
      </c>
      <c r="D72" s="728"/>
      <c r="E72" s="478" t="e">
        <f>+C72/$C$72</f>
        <v>#DIV/0!</v>
      </c>
      <c r="F72" s="120"/>
      <c r="G72" s="120"/>
      <c r="H72" s="120"/>
      <c r="I72" s="120"/>
      <c r="J72" s="120"/>
      <c r="K72" s="120"/>
    </row>
    <row r="73" spans="2:11">
      <c r="E73" s="476"/>
      <c r="F73" s="120"/>
      <c r="G73" s="120"/>
      <c r="H73" s="120"/>
      <c r="I73" s="120"/>
      <c r="J73" s="120"/>
      <c r="K73" s="120"/>
    </row>
    <row r="74" spans="2:11" ht="14.4">
      <c r="E74" s="476"/>
      <c r="F74" s="120"/>
      <c r="G74" s="120"/>
      <c r="H74" s="120"/>
      <c r="I74" s="124"/>
      <c r="J74" s="120"/>
      <c r="K74" s="120"/>
    </row>
    <row r="75" spans="2:11">
      <c r="E75" s="476"/>
      <c r="F75" s="120"/>
      <c r="G75" s="120"/>
      <c r="H75" s="120"/>
      <c r="I75" s="121"/>
      <c r="J75" s="120"/>
      <c r="K75" s="120"/>
    </row>
    <row r="76" spans="2:11">
      <c r="E76" s="476"/>
      <c r="F76" s="120"/>
      <c r="G76" s="120"/>
      <c r="H76" s="120"/>
      <c r="I76" s="121"/>
      <c r="J76" s="120"/>
      <c r="K76" s="120"/>
    </row>
    <row r="77" spans="2:11" ht="14.4">
      <c r="B77" s="12" t="s">
        <v>15</v>
      </c>
      <c r="E77" s="476"/>
      <c r="F77" s="120"/>
      <c r="G77" s="120"/>
      <c r="H77" s="120"/>
      <c r="I77" s="121"/>
      <c r="J77" s="120"/>
      <c r="K77" s="120"/>
    </row>
    <row r="78" spans="2:11" ht="14.4">
      <c r="B78" s="3" t="s">
        <v>11</v>
      </c>
      <c r="E78" s="476"/>
      <c r="F78" s="120"/>
      <c r="G78" s="120"/>
      <c r="H78" s="120"/>
      <c r="I78" s="121"/>
      <c r="J78" s="120"/>
      <c r="K78" s="120"/>
    </row>
    <row r="79" spans="2:11">
      <c r="E79" s="476"/>
      <c r="F79" s="120"/>
      <c r="G79" s="120"/>
      <c r="H79" s="120"/>
      <c r="I79" s="121"/>
      <c r="J79" s="120"/>
      <c r="K79" s="120"/>
    </row>
    <row r="80" spans="2:11" ht="14.4">
      <c r="B80" s="12" t="s">
        <v>16</v>
      </c>
      <c r="C80" s="728">
        <f>+Building_Data!D90</f>
        <v>20000</v>
      </c>
      <c r="D80" s="728"/>
      <c r="E80" s="478">
        <f>+C80/$C$83</f>
        <v>0.66666666666666663</v>
      </c>
      <c r="F80" s="120"/>
      <c r="G80" s="120"/>
      <c r="H80" s="120"/>
      <c r="I80" s="125"/>
      <c r="J80" s="120"/>
      <c r="K80" s="120"/>
    </row>
    <row r="81" spans="2:11" ht="14.4">
      <c r="B81" s="12" t="s">
        <v>17</v>
      </c>
      <c r="C81" s="728">
        <f>+Building_Data!D88</f>
        <v>0</v>
      </c>
      <c r="D81" s="728"/>
      <c r="E81" s="478">
        <f>+C81/$C$83</f>
        <v>0</v>
      </c>
      <c r="F81" s="120"/>
      <c r="G81" s="120"/>
      <c r="H81" s="120"/>
      <c r="I81" s="121"/>
      <c r="J81" s="120"/>
      <c r="K81" s="120"/>
    </row>
    <row r="82" spans="2:11">
      <c r="B82" s="2" t="s">
        <v>13</v>
      </c>
      <c r="C82" s="727">
        <f>IF((Building_Data!C81-Building_Data!D81)&lt;0,0,Building_Data!C81-Building_Data!D81)</f>
        <v>10000</v>
      </c>
      <c r="D82" s="727"/>
      <c r="E82" s="479">
        <f>+C82/$C$83</f>
        <v>0.33333333333333331</v>
      </c>
      <c r="F82" s="120"/>
      <c r="G82" s="120"/>
      <c r="H82" s="120"/>
      <c r="I82" s="120"/>
      <c r="J82" s="120"/>
      <c r="K82" s="120"/>
    </row>
    <row r="83" spans="2:11">
      <c r="C83" s="728">
        <f>SUM(C80:D82)</f>
        <v>30000</v>
      </c>
      <c r="D83" s="728"/>
      <c r="E83" s="478">
        <f>+C83/$C$83</f>
        <v>1</v>
      </c>
      <c r="F83" s="120"/>
      <c r="G83" s="120"/>
      <c r="H83" s="120"/>
      <c r="I83" s="120"/>
      <c r="J83" s="120"/>
      <c r="K83" s="120"/>
    </row>
    <row r="84" spans="2:11">
      <c r="E84" s="476"/>
      <c r="F84" s="120"/>
      <c r="G84" s="120"/>
      <c r="H84" s="120"/>
      <c r="I84" s="120"/>
      <c r="J84" s="120"/>
      <c r="K84" s="120"/>
    </row>
    <row r="85" spans="2:11">
      <c r="E85" s="476"/>
      <c r="F85" s="120"/>
      <c r="G85" s="120"/>
      <c r="H85" s="120"/>
      <c r="I85" s="120"/>
      <c r="J85" s="120"/>
      <c r="K85" s="120"/>
    </row>
    <row r="86" spans="2:11">
      <c r="E86" s="477"/>
    </row>
    <row r="87" spans="2:11" ht="14.4">
      <c r="B87" s="436" t="s">
        <v>529</v>
      </c>
      <c r="E87" s="476"/>
      <c r="F87" s="120"/>
      <c r="G87" s="120"/>
      <c r="H87" s="120"/>
      <c r="I87" s="121"/>
      <c r="J87" s="120"/>
      <c r="K87" s="120"/>
    </row>
    <row r="88" spans="2:11" ht="14.4">
      <c r="B88" s="3" t="s">
        <v>11</v>
      </c>
      <c r="E88" s="476"/>
      <c r="F88" s="120"/>
      <c r="G88" s="120"/>
      <c r="H88" s="120"/>
      <c r="I88" s="121"/>
      <c r="J88" s="120"/>
      <c r="K88" s="120"/>
    </row>
    <row r="89" spans="2:11">
      <c r="E89" s="476"/>
      <c r="F89" s="120"/>
      <c r="G89" s="120"/>
      <c r="H89" s="120"/>
      <c r="I89" s="121"/>
      <c r="J89" s="120"/>
      <c r="K89" s="120"/>
    </row>
    <row r="90" spans="2:11" ht="14.4">
      <c r="B90" s="436" t="s">
        <v>530</v>
      </c>
      <c r="C90" s="728">
        <f>+Building_Data!D98</f>
        <v>0</v>
      </c>
      <c r="D90" s="728"/>
      <c r="E90" s="478" t="e">
        <f>+C90/$C$93</f>
        <v>#DIV/0!</v>
      </c>
      <c r="F90" s="120"/>
      <c r="G90" s="120"/>
      <c r="H90" s="120"/>
      <c r="I90" s="125"/>
      <c r="J90" s="120"/>
      <c r="K90" s="120"/>
    </row>
    <row r="91" spans="2:11" ht="14.4">
      <c r="B91" s="436" t="s">
        <v>531</v>
      </c>
      <c r="C91" s="728">
        <f>+Building_Data!D97</f>
        <v>0</v>
      </c>
      <c r="D91" s="728"/>
      <c r="E91" s="478" t="e">
        <f>+C91/$C$93</f>
        <v>#DIV/0!</v>
      </c>
      <c r="F91" s="120"/>
      <c r="G91" s="120"/>
      <c r="H91" s="120"/>
      <c r="I91" s="121"/>
      <c r="J91" s="120"/>
      <c r="K91" s="120"/>
    </row>
    <row r="92" spans="2:11" ht="14.4">
      <c r="B92" s="436" t="s">
        <v>532</v>
      </c>
      <c r="C92" s="727">
        <f>+Building_Data!D96</f>
        <v>0</v>
      </c>
      <c r="D92" s="727"/>
      <c r="E92" s="479" t="e">
        <f>+C92/$C$93</f>
        <v>#DIV/0!</v>
      </c>
      <c r="F92" s="120"/>
      <c r="G92" s="120"/>
      <c r="H92" s="120"/>
      <c r="I92" s="120"/>
      <c r="J92" s="120"/>
      <c r="K92" s="120"/>
    </row>
    <row r="93" spans="2:11">
      <c r="C93" s="728">
        <f>SUM(C90:D92)</f>
        <v>0</v>
      </c>
      <c r="D93" s="728"/>
      <c r="E93" s="478" t="e">
        <f>+C93/$C$93</f>
        <v>#DIV/0!</v>
      </c>
    </row>
  </sheetData>
  <sheetProtection insertHyperlinks="0"/>
  <mergeCells count="42">
    <mergeCell ref="E31:G31"/>
    <mergeCell ref="B9:K9"/>
    <mergeCell ref="H21:K21"/>
    <mergeCell ref="E24:G24"/>
    <mergeCell ref="E25:G25"/>
    <mergeCell ref="E26:G26"/>
    <mergeCell ref="E23:G23"/>
    <mergeCell ref="B20:K20"/>
    <mergeCell ref="B2:K2"/>
    <mergeCell ref="C5:I5"/>
    <mergeCell ref="C4:G4"/>
    <mergeCell ref="C3:G3"/>
    <mergeCell ref="B6:K8"/>
    <mergeCell ref="E32:G32"/>
    <mergeCell ref="B22:C22"/>
    <mergeCell ref="B23:C23"/>
    <mergeCell ref="B24:C24"/>
    <mergeCell ref="E21:G21"/>
    <mergeCell ref="E22:G22"/>
    <mergeCell ref="B26:C26"/>
    <mergeCell ref="E27:G27"/>
    <mergeCell ref="E28:G28"/>
    <mergeCell ref="E29:G29"/>
    <mergeCell ref="B27:C27"/>
    <mergeCell ref="B28:C28"/>
    <mergeCell ref="B30:C30"/>
    <mergeCell ref="B31:C31"/>
    <mergeCell ref="B32:C32"/>
    <mergeCell ref="E30:G30"/>
    <mergeCell ref="C93:D93"/>
    <mergeCell ref="C83:D83"/>
    <mergeCell ref="C69:D69"/>
    <mergeCell ref="C70:D70"/>
    <mergeCell ref="C71:D71"/>
    <mergeCell ref="C80:D80"/>
    <mergeCell ref="C81:D81"/>
    <mergeCell ref="C72:D72"/>
    <mergeCell ref="B33:J33"/>
    <mergeCell ref="C82:D82"/>
    <mergeCell ref="C90:D90"/>
    <mergeCell ref="C91:D91"/>
    <mergeCell ref="C92:D92"/>
  </mergeCells>
  <conditionalFormatting sqref="C11">
    <cfRule type="iconSet" priority="93">
      <iconSet iconSet="3Symbols" showValue="0">
        <cfvo type="percent" val="0"/>
        <cfvo type="num" val="$D$15"/>
        <cfvo type="num" val="$D$11"/>
      </iconSet>
    </cfRule>
  </conditionalFormatting>
  <conditionalFormatting sqref="C12">
    <cfRule type="iconSet" priority="94">
      <iconSet iconSet="3Symbols" showValue="0">
        <cfvo type="percent" val="0"/>
        <cfvo type="num" val="$D$15"/>
        <cfvo type="num" val="$D$11"/>
      </iconSet>
    </cfRule>
  </conditionalFormatting>
  <conditionalFormatting sqref="C18">
    <cfRule type="iconSet" priority="95">
      <iconSet iconSet="3Symbols" showValue="0">
        <cfvo type="percent" val="0"/>
        <cfvo type="num" val="$D$15"/>
        <cfvo type="num" val="$D$11"/>
      </iconSet>
    </cfRule>
  </conditionalFormatting>
  <conditionalFormatting sqref="C19">
    <cfRule type="iconSet" priority="96">
      <iconSet iconSet="3Symbols" showValue="0">
        <cfvo type="percent" val="0"/>
        <cfvo type="num" val="$D$15"/>
        <cfvo type="num" val="$D$11"/>
      </iconSet>
    </cfRule>
  </conditionalFormatting>
  <conditionalFormatting sqref="C14">
    <cfRule type="iconSet" priority="97">
      <iconSet iconSet="3Symbols" showValue="0">
        <cfvo type="percent" val="0"/>
        <cfvo type="num" val="$D$15"/>
        <cfvo type="num" val="$D$11"/>
      </iconSet>
    </cfRule>
  </conditionalFormatting>
  <conditionalFormatting sqref="C15">
    <cfRule type="iconSet" priority="98">
      <iconSet iconSet="3Symbols" showValue="0">
        <cfvo type="percent" val="0"/>
        <cfvo type="num" val="$D$15"/>
        <cfvo type="num" val="$D$11"/>
      </iconSet>
    </cfRule>
  </conditionalFormatting>
  <conditionalFormatting sqref="C16">
    <cfRule type="iconSet" priority="99">
      <iconSet iconSet="3Symbols" showValue="0">
        <cfvo type="percent" val="0"/>
        <cfvo type="num" val="$D$15"/>
        <cfvo type="num" val="$D$11"/>
      </iconSet>
    </cfRule>
  </conditionalFormatting>
  <conditionalFormatting sqref="C17">
    <cfRule type="iconSet" priority="100">
      <iconSet iconSet="3Symbols" showValue="0">
        <cfvo type="percent" val="0"/>
        <cfvo type="num" val="$D$15"/>
        <cfvo type="num" val="$D$11"/>
      </iconSet>
    </cfRule>
  </conditionalFormatting>
  <conditionalFormatting sqref="D10">
    <cfRule type="iconSet" priority="101">
      <iconSet iconSet="3Symbols" showValue="0">
        <cfvo type="percent" val="0"/>
        <cfvo type="num" val="$D$15"/>
        <cfvo type="num" val="$D$11"/>
      </iconSet>
    </cfRule>
  </conditionalFormatting>
  <conditionalFormatting sqref="C13">
    <cfRule type="iconSet" priority="103">
      <iconSet iconSet="3Symbols" showValue="0">
        <cfvo type="percent" val="0"/>
        <cfvo type="num" val="$D$15"/>
        <cfvo type="num" val="$D$11"/>
      </iconSet>
    </cfRule>
  </conditionalFormatting>
  <conditionalFormatting sqref="D17">
    <cfRule type="iconSet" priority="104">
      <iconSet iconSet="3Symbols" showValue="0">
        <cfvo type="percent" val="0"/>
        <cfvo type="num" val="$D$15"/>
        <cfvo type="num" val="$D$11"/>
      </iconSet>
    </cfRule>
  </conditionalFormatting>
  <conditionalFormatting sqref="D18">
    <cfRule type="iconSet" priority="105">
      <iconSet iconSet="3Symbols" showValue="0">
        <cfvo type="percent" val="0"/>
        <cfvo type="num" val="$D$15"/>
        <cfvo type="num" val="$D$11"/>
      </iconSet>
    </cfRule>
  </conditionalFormatting>
  <conditionalFormatting sqref="D19">
    <cfRule type="iconSet" priority="106">
      <iconSet iconSet="3Symbols" showValue="0">
        <cfvo type="percent" val="0"/>
        <cfvo type="num" val="$D$15"/>
        <cfvo type="num" val="$D$11"/>
      </iconSet>
    </cfRule>
  </conditionalFormatting>
  <conditionalFormatting sqref="D13">
    <cfRule type="containsText" dxfId="23" priority="1" operator="containsText" text="Gold">
      <formula>NOT(ISERROR(SEARCH("Gold",D13)))</formula>
    </cfRule>
    <cfRule type="containsText" dxfId="22" priority="2" operator="containsText" text="Platinum">
      <formula>NOT(ISERROR(SEARCH("Platinum",D13)))</formula>
    </cfRule>
  </conditionalFormatting>
  <dataValidations disablePrompts="1" count="1">
    <dataValidation operator="greaterThan" showInputMessage="1" showErrorMessage="1" error="Cannot be blank" sqref="J3:K3 K4"/>
  </dataValidations>
  <printOptions horizontalCentered="1"/>
  <pageMargins left="0.25" right="0.25" top="0.75" bottom="0.75" header="0.3" footer="0.3"/>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sheetPr codeName="Sheet6">
    <pageSetUpPr fitToPage="1"/>
  </sheetPr>
  <dimension ref="A1:L105"/>
  <sheetViews>
    <sheetView tabSelected="1" topLeftCell="A25" zoomScaleNormal="100" workbookViewId="0">
      <selection activeCell="D36" sqref="D36"/>
    </sheetView>
  </sheetViews>
  <sheetFormatPr defaultColWidth="9.109375" defaultRowHeight="13.2"/>
  <cols>
    <col min="1" max="1" width="8.6640625" style="358" customWidth="1"/>
    <col min="2" max="2" width="39.44140625" style="2" customWidth="1"/>
    <col min="3" max="5" width="15.109375" style="2" customWidth="1"/>
    <col min="6" max="6" width="10.6640625" style="2" customWidth="1"/>
    <col min="7" max="7" width="12.5546875" style="2" bestFit="1" customWidth="1"/>
    <col min="8" max="8" width="12.109375" style="2" bestFit="1" customWidth="1"/>
    <col min="9" max="19" width="12.6640625" style="2" customWidth="1"/>
    <col min="20" max="16384" width="9.109375" style="2"/>
  </cols>
  <sheetData>
    <row r="1" spans="1:12" ht="13.8" thickBot="1">
      <c r="F1" s="678">
        <v>41365</v>
      </c>
    </row>
    <row r="2" spans="1:12" customFormat="1" ht="13.8" thickTop="1">
      <c r="A2" s="404" t="s">
        <v>225</v>
      </c>
      <c r="B2" s="417" t="s">
        <v>609</v>
      </c>
      <c r="C2" s="398" t="s">
        <v>485</v>
      </c>
      <c r="D2" s="571" t="s">
        <v>600</v>
      </c>
      <c r="E2" s="574" t="s">
        <v>487</v>
      </c>
      <c r="F2" s="575" t="s">
        <v>87</v>
      </c>
      <c r="G2" s="399"/>
      <c r="H2" s="1"/>
      <c r="I2" s="1"/>
      <c r="J2" s="1"/>
      <c r="K2" s="1"/>
      <c r="L2" s="1"/>
    </row>
    <row r="3" spans="1:12" customFormat="1">
      <c r="A3" s="405" t="s">
        <v>516</v>
      </c>
      <c r="B3" s="390" t="s">
        <v>608</v>
      </c>
      <c r="C3" s="400" t="s">
        <v>505</v>
      </c>
      <c r="D3" s="572" t="s">
        <v>602</v>
      </c>
      <c r="E3" s="576" t="s">
        <v>488</v>
      </c>
      <c r="F3" s="577" t="s">
        <v>87</v>
      </c>
      <c r="G3" s="399"/>
      <c r="H3" s="1"/>
      <c r="I3" s="1"/>
      <c r="J3" s="1"/>
      <c r="K3" s="1"/>
      <c r="L3" s="1"/>
    </row>
    <row r="4" spans="1:12" customFormat="1" ht="13.8" thickBot="1">
      <c r="A4" s="405" t="s">
        <v>486</v>
      </c>
      <c r="B4" s="407" t="s">
        <v>599</v>
      </c>
      <c r="C4" s="400" t="s">
        <v>477</v>
      </c>
      <c r="D4" s="573">
        <v>37225</v>
      </c>
      <c r="E4" s="578" t="s">
        <v>489</v>
      </c>
      <c r="F4" s="579" t="s">
        <v>87</v>
      </c>
      <c r="G4" s="399"/>
      <c r="H4" s="1"/>
      <c r="I4" s="1"/>
      <c r="J4" s="1"/>
      <c r="K4" s="1"/>
      <c r="L4" s="1"/>
    </row>
    <row r="5" spans="1:12" customFormat="1" ht="14.4" thickTop="1" thickBot="1">
      <c r="A5" s="406" t="s">
        <v>222</v>
      </c>
      <c r="B5" s="408" t="s">
        <v>596</v>
      </c>
      <c r="C5" s="401" t="s">
        <v>223</v>
      </c>
      <c r="D5" s="569" t="s">
        <v>597</v>
      </c>
      <c r="E5" s="570" t="s">
        <v>224</v>
      </c>
      <c r="F5" s="568" t="s">
        <v>598</v>
      </c>
      <c r="G5" s="399"/>
      <c r="H5" s="1"/>
      <c r="I5" s="1"/>
      <c r="J5" s="1"/>
      <c r="K5" s="1"/>
      <c r="L5" s="1"/>
    </row>
    <row r="6" spans="1:12" ht="14.4" thickBot="1">
      <c r="A6" s="2"/>
      <c r="B6" s="402" t="s">
        <v>517</v>
      </c>
      <c r="C6" s="409">
        <v>5200</v>
      </c>
      <c r="D6" s="418" t="s">
        <v>478</v>
      </c>
      <c r="E6" s="680"/>
      <c r="F6" s="679" t="s">
        <v>578</v>
      </c>
      <c r="G6" s="403"/>
    </row>
    <row r="7" spans="1:12" ht="7.5" customHeight="1" thickBot="1">
      <c r="A7" s="120"/>
      <c r="B7" s="402"/>
      <c r="C7" s="611"/>
      <c r="D7" s="610"/>
      <c r="E7" s="610"/>
      <c r="F7" s="612"/>
      <c r="G7" s="613"/>
    </row>
    <row r="8" spans="1:12" s="15" customFormat="1">
      <c r="A8" s="358"/>
      <c r="B8" s="420" t="s">
        <v>586</v>
      </c>
      <c r="C8" s="419" t="s">
        <v>521</v>
      </c>
      <c r="D8" s="410"/>
      <c r="E8" s="411"/>
    </row>
    <row r="9" spans="1:12" s="15" customFormat="1" ht="13.8" thickBot="1">
      <c r="A9" s="358"/>
      <c r="B9" s="359" t="s">
        <v>587</v>
      </c>
      <c r="C9" s="360" t="s">
        <v>588</v>
      </c>
      <c r="D9" s="360"/>
      <c r="E9" s="361"/>
    </row>
    <row r="10" spans="1:12" s="15" customFormat="1" ht="7.5" customHeight="1" thickBot="1">
      <c r="A10" s="120"/>
      <c r="B10" s="402"/>
      <c r="C10" s="611"/>
      <c r="D10" s="610"/>
      <c r="E10" s="610"/>
      <c r="F10" s="612"/>
      <c r="G10" s="613"/>
    </row>
    <row r="11" spans="1:12" ht="18.600000000000001" thickBot="1">
      <c r="B11" s="771" t="s">
        <v>544</v>
      </c>
      <c r="C11" s="772"/>
      <c r="D11" s="772"/>
      <c r="E11" s="773"/>
      <c r="F11" s="9"/>
    </row>
    <row r="12" spans="1:12" ht="8.25" customHeight="1" thickBot="1">
      <c r="A12" s="120"/>
      <c r="B12" s="402"/>
      <c r="C12" s="611"/>
      <c r="D12" s="610"/>
      <c r="E12" s="610"/>
      <c r="F12" s="612"/>
      <c r="G12" s="613"/>
    </row>
    <row r="13" spans="1:12" ht="15" thickBot="1">
      <c r="A13" s="120"/>
      <c r="B13" s="383" t="s">
        <v>547</v>
      </c>
      <c r="C13" s="422">
        <f>+C40+C74</f>
        <v>0</v>
      </c>
      <c r="D13" s="654">
        <f>+D40+D74</f>
        <v>0</v>
      </c>
      <c r="E13" s="422">
        <f>+E40+E74</f>
        <v>0</v>
      </c>
      <c r="F13" s="612"/>
      <c r="G13" s="613"/>
    </row>
    <row r="14" spans="1:12" ht="14.4">
      <c r="A14" s="582"/>
      <c r="B14" s="638" t="str">
        <f>CONCATENATE("Target Savings from ",Building_Data!$C$17,":")</f>
        <v>Target Savings from 90.1-2007:</v>
      </c>
      <c r="C14" s="681">
        <v>0.3</v>
      </c>
      <c r="D14" s="639" t="e">
        <f>1-(D13/C13)</f>
        <v>#DIV/0!</v>
      </c>
      <c r="E14" s="639" t="e">
        <f>1-(E13/C13)</f>
        <v>#DIV/0!</v>
      </c>
    </row>
    <row r="15" spans="1:12" ht="8.25" customHeight="1" thickBot="1">
      <c r="B15" s="9"/>
      <c r="C15" s="11"/>
      <c r="D15" s="11"/>
      <c r="E15" s="11"/>
      <c r="F15" s="9"/>
    </row>
    <row r="16" spans="1:12" ht="18.600000000000001" thickBot="1">
      <c r="B16" s="771" t="s">
        <v>548</v>
      </c>
      <c r="C16" s="772"/>
      <c r="D16" s="772"/>
      <c r="E16" s="773"/>
      <c r="F16" s="9"/>
    </row>
    <row r="17" spans="1:6" ht="14.4">
      <c r="A17" s="774"/>
      <c r="B17" s="380" t="s">
        <v>482</v>
      </c>
      <c r="C17" s="682" t="s">
        <v>603</v>
      </c>
      <c r="D17" s="47" t="s">
        <v>112</v>
      </c>
      <c r="E17" s="47" t="s">
        <v>520</v>
      </c>
      <c r="F17" s="372"/>
    </row>
    <row r="18" spans="1:6" ht="15" thickBot="1">
      <c r="A18" s="774"/>
      <c r="B18" s="614"/>
      <c r="C18" s="357" t="s">
        <v>3</v>
      </c>
      <c r="D18" s="357" t="s">
        <v>111</v>
      </c>
      <c r="E18" s="357" t="s">
        <v>481</v>
      </c>
      <c r="F18" s="120"/>
    </row>
    <row r="19" spans="1:6" ht="14.4">
      <c r="A19" s="774"/>
      <c r="B19" s="619" t="s">
        <v>549</v>
      </c>
      <c r="C19" s="683"/>
      <c r="D19" s="684"/>
      <c r="E19" s="683"/>
    </row>
    <row r="20" spans="1:6" ht="14.4">
      <c r="A20" s="774"/>
      <c r="B20" s="620" t="s">
        <v>526</v>
      </c>
      <c r="C20" s="373">
        <f>+C19*3.4121411565</f>
        <v>0</v>
      </c>
      <c r="D20" s="655">
        <f>+D19*3.4121411565</f>
        <v>0</v>
      </c>
      <c r="E20" s="373">
        <f>+E19*3.4121411565</f>
        <v>0</v>
      </c>
    </row>
    <row r="21" spans="1:6" ht="14.4">
      <c r="A21" s="774"/>
      <c r="B21" s="619" t="s">
        <v>550</v>
      </c>
      <c r="C21" s="685"/>
      <c r="D21" s="686"/>
      <c r="E21" s="685"/>
    </row>
    <row r="22" spans="1:6" ht="14.4">
      <c r="A22" s="774"/>
      <c r="B22" s="619" t="s">
        <v>551</v>
      </c>
      <c r="C22" s="685"/>
      <c r="D22" s="686"/>
      <c r="E22" s="685"/>
    </row>
    <row r="23" spans="1:6" ht="14.4">
      <c r="A23" s="774"/>
      <c r="B23" s="619" t="s">
        <v>552</v>
      </c>
      <c r="C23" s="685"/>
      <c r="D23" s="686"/>
      <c r="E23" s="685"/>
    </row>
    <row r="24" spans="1:6" ht="14.4">
      <c r="A24" s="774"/>
      <c r="B24" s="619" t="s">
        <v>553</v>
      </c>
      <c r="C24" s="685"/>
      <c r="D24" s="686"/>
      <c r="E24" s="685"/>
    </row>
    <row r="25" spans="1:6" ht="14.4">
      <c r="A25" s="774"/>
      <c r="B25" s="619" t="s">
        <v>554</v>
      </c>
      <c r="C25" s="685"/>
      <c r="D25" s="686"/>
      <c r="E25" s="685"/>
    </row>
    <row r="26" spans="1:6" ht="15" thickBot="1">
      <c r="A26" s="774"/>
      <c r="B26" s="619" t="s">
        <v>555</v>
      </c>
      <c r="C26" s="685"/>
      <c r="D26" s="686"/>
      <c r="E26" s="685"/>
    </row>
    <row r="27" spans="1:6" ht="15" thickBot="1">
      <c r="A27" s="774"/>
      <c r="B27" s="615" t="s">
        <v>539</v>
      </c>
      <c r="C27" s="829">
        <v>0</v>
      </c>
      <c r="D27" s="630">
        <v>0</v>
      </c>
      <c r="E27" s="396">
        <f>SUM(E20:E26)</f>
        <v>0</v>
      </c>
    </row>
    <row r="28" spans="1:6" ht="14.4">
      <c r="A28" s="582"/>
      <c r="B28" s="638" t="s">
        <v>575</v>
      </c>
      <c r="C28" s="681">
        <v>0.55000000000000004</v>
      </c>
      <c r="D28" s="656" t="e">
        <f>1-(D27/C27)</f>
        <v>#DIV/0!</v>
      </c>
      <c r="E28" s="639" t="e">
        <f>1-(E27/C27)</f>
        <v>#DIV/0!</v>
      </c>
    </row>
    <row r="29" spans="1:6" ht="14.4">
      <c r="A29" s="10"/>
      <c r="B29" s="382"/>
      <c r="C29" s="378"/>
      <c r="D29" s="379"/>
      <c r="E29" s="379"/>
    </row>
    <row r="30" spans="1:6" ht="13.8">
      <c r="A30" s="775"/>
      <c r="B30" s="380" t="s">
        <v>484</v>
      </c>
      <c r="C30" s="356"/>
      <c r="D30" s="356"/>
      <c r="E30" s="356"/>
    </row>
    <row r="31" spans="1:6" ht="15" thickBot="1">
      <c r="A31" s="774"/>
      <c r="B31" s="614"/>
      <c r="C31" s="357" t="s">
        <v>3</v>
      </c>
      <c r="D31" s="357" t="s">
        <v>111</v>
      </c>
      <c r="E31" s="357" t="s">
        <v>481</v>
      </c>
      <c r="F31" s="120"/>
    </row>
    <row r="32" spans="1:6" ht="14.4">
      <c r="A32" s="774"/>
      <c r="B32" s="619" t="s">
        <v>556</v>
      </c>
      <c r="C32" s="683"/>
      <c r="D32" s="684"/>
      <c r="E32" s="683"/>
    </row>
    <row r="33" spans="1:6" ht="14.4">
      <c r="A33" s="774"/>
      <c r="B33" s="621" t="s">
        <v>526</v>
      </c>
      <c r="C33" s="373">
        <f>+C32*3.4121411565</f>
        <v>0</v>
      </c>
      <c r="D33" s="655">
        <f>+D32*3.4121411565</f>
        <v>0</v>
      </c>
      <c r="E33" s="373">
        <f>+E32*3.4121411565</f>
        <v>0</v>
      </c>
    </row>
    <row r="34" spans="1:6" ht="14.4">
      <c r="A34" s="774"/>
      <c r="B34" s="619" t="s">
        <v>557</v>
      </c>
      <c r="C34" s="683"/>
      <c r="D34" s="684"/>
      <c r="E34" s="683"/>
    </row>
    <row r="35" spans="1:6" ht="14.4">
      <c r="A35" s="774"/>
      <c r="B35" s="621" t="s">
        <v>526</v>
      </c>
      <c r="C35" s="373">
        <f>+C34*3.4121411565</f>
        <v>0</v>
      </c>
      <c r="D35" s="655">
        <f>+D34*3.4121411565</f>
        <v>0</v>
      </c>
      <c r="E35" s="373">
        <f>+E34*3.4121411565</f>
        <v>0</v>
      </c>
    </row>
    <row r="36" spans="1:6" ht="14.4">
      <c r="A36" s="774"/>
      <c r="B36" s="619" t="s">
        <v>527</v>
      </c>
      <c r="C36" s="685"/>
      <c r="D36" s="686"/>
      <c r="E36" s="685"/>
    </row>
    <row r="37" spans="1:6" ht="15" thickBot="1">
      <c r="A37" s="774"/>
      <c r="B37" s="619" t="s">
        <v>528</v>
      </c>
      <c r="C37" s="685"/>
      <c r="D37" s="686"/>
      <c r="E37" s="685"/>
    </row>
    <row r="38" spans="1:6" ht="15" thickBot="1">
      <c r="A38" s="774"/>
      <c r="B38" s="615" t="s">
        <v>540</v>
      </c>
      <c r="C38" s="396">
        <f>+C33+C35+C36+C37</f>
        <v>0</v>
      </c>
      <c r="D38" s="630">
        <f>+D33+D35+D36+D37</f>
        <v>0</v>
      </c>
      <c r="E38" s="396">
        <f>+E33+E35+E36+E37</f>
        <v>0</v>
      </c>
    </row>
    <row r="39" spans="1:6" ht="15" thickBot="1">
      <c r="A39" s="433"/>
      <c r="B39" s="383"/>
      <c r="C39" s="580"/>
      <c r="D39" s="657"/>
      <c r="E39" s="580"/>
      <c r="F39" s="120"/>
    </row>
    <row r="40" spans="1:6" ht="16.2" thickBot="1">
      <c r="A40" s="433"/>
      <c r="B40" s="581" t="s">
        <v>541</v>
      </c>
      <c r="C40" s="396">
        <f>+C27+C38</f>
        <v>0</v>
      </c>
      <c r="D40" s="630">
        <f>+D38+D27</f>
        <v>0</v>
      </c>
      <c r="E40" s="396">
        <f>+E38+E27</f>
        <v>0</v>
      </c>
    </row>
    <row r="41" spans="1:6" ht="9.75" customHeight="1" thickBot="1">
      <c r="B41" s="382"/>
      <c r="C41" s="378"/>
      <c r="D41" s="379"/>
      <c r="E41" s="379"/>
    </row>
    <row r="42" spans="1:6" ht="18.600000000000001" thickBot="1">
      <c r="A42" s="775"/>
      <c r="B42" s="771" t="s">
        <v>525</v>
      </c>
      <c r="C42" s="772"/>
      <c r="D42" s="772"/>
      <c r="E42" s="773"/>
      <c r="F42" s="9"/>
    </row>
    <row r="43" spans="1:6" ht="14.4">
      <c r="A43" s="774"/>
      <c r="B43" s="381" t="s">
        <v>506</v>
      </c>
      <c r="C43" s="356"/>
      <c r="D43" s="356"/>
      <c r="E43" s="356"/>
    </row>
    <row r="44" spans="1:6" ht="15" thickBot="1">
      <c r="A44" s="774"/>
      <c r="B44" s="381"/>
      <c r="C44" s="357" t="s">
        <v>3</v>
      </c>
      <c r="D44" s="357" t="s">
        <v>111</v>
      </c>
      <c r="E44" s="357" t="s">
        <v>481</v>
      </c>
    </row>
    <row r="45" spans="1:6" ht="14.4">
      <c r="A45" s="774"/>
      <c r="B45" s="622" t="s">
        <v>558</v>
      </c>
      <c r="C45" s="687"/>
      <c r="D45" s="688"/>
      <c r="E45" s="687"/>
    </row>
    <row r="46" spans="1:6" ht="14.4">
      <c r="A46" s="774"/>
      <c r="B46" s="623" t="s">
        <v>559</v>
      </c>
      <c r="C46" s="377">
        <f>+C45*3.4121411565</f>
        <v>0</v>
      </c>
      <c r="D46" s="658">
        <f>+D45*3.4121411565</f>
        <v>0</v>
      </c>
      <c r="E46" s="377">
        <f>+E45*3.4121411565</f>
        <v>0</v>
      </c>
    </row>
    <row r="47" spans="1:6" ht="14.4">
      <c r="A47" s="774"/>
      <c r="B47" s="624" t="s">
        <v>560</v>
      </c>
      <c r="C47" s="687"/>
      <c r="D47" s="688"/>
      <c r="E47" s="687"/>
    </row>
    <row r="48" spans="1:6" ht="14.4">
      <c r="A48" s="774"/>
      <c r="B48" s="624" t="s">
        <v>559</v>
      </c>
      <c r="C48" s="377">
        <f>+C47*3.4121411565</f>
        <v>0</v>
      </c>
      <c r="D48" s="658">
        <f>+D47*3.4121411565</f>
        <v>0</v>
      </c>
      <c r="E48" s="377">
        <f>+E47*3.4121411565</f>
        <v>0</v>
      </c>
    </row>
    <row r="49" spans="1:5" ht="14.4">
      <c r="A49" s="774"/>
      <c r="B49" s="624" t="s">
        <v>561</v>
      </c>
      <c r="C49" s="687"/>
      <c r="D49" s="688"/>
      <c r="E49" s="687"/>
    </row>
    <row r="50" spans="1:5" ht="14.4">
      <c r="A50" s="774"/>
      <c r="B50" s="625" t="s">
        <v>559</v>
      </c>
      <c r="C50" s="377">
        <f>+C49*3.4121411565</f>
        <v>0</v>
      </c>
      <c r="D50" s="658">
        <f>+D49*3.4121411565</f>
        <v>0</v>
      </c>
      <c r="E50" s="377">
        <f>+E49*3.4121411565</f>
        <v>0</v>
      </c>
    </row>
    <row r="51" spans="1:5" ht="14.4">
      <c r="A51" s="774"/>
      <c r="B51" s="624" t="s">
        <v>562</v>
      </c>
      <c r="C51" s="687"/>
      <c r="D51" s="688"/>
      <c r="E51" s="687"/>
    </row>
    <row r="52" spans="1:5" ht="14.4">
      <c r="A52" s="774"/>
      <c r="B52" s="626" t="s">
        <v>559</v>
      </c>
      <c r="C52" s="377">
        <f>+C51*3.4121411565</f>
        <v>0</v>
      </c>
      <c r="D52" s="658">
        <f>+D51*3.4121411565</f>
        <v>0</v>
      </c>
      <c r="E52" s="377">
        <f>+E51*3.4121411565</f>
        <v>0</v>
      </c>
    </row>
    <row r="53" spans="1:5" ht="14.4">
      <c r="A53" s="774"/>
      <c r="B53" s="624" t="s">
        <v>563</v>
      </c>
      <c r="C53" s="687"/>
      <c r="D53" s="688"/>
      <c r="E53" s="687"/>
    </row>
    <row r="54" spans="1:5" ht="14.4">
      <c r="A54" s="774"/>
      <c r="B54" s="625" t="s">
        <v>559</v>
      </c>
      <c r="C54" s="377">
        <f>+C53*3.4121411565</f>
        <v>0</v>
      </c>
      <c r="D54" s="658">
        <f>+D53*3.4121411565</f>
        <v>0</v>
      </c>
      <c r="E54" s="377">
        <f>+E53*3.4121411565</f>
        <v>0</v>
      </c>
    </row>
    <row r="55" spans="1:5" ht="14.4">
      <c r="A55" s="774"/>
      <c r="B55" s="624" t="s">
        <v>564</v>
      </c>
      <c r="C55" s="687"/>
      <c r="D55" s="688"/>
      <c r="E55" s="687"/>
    </row>
    <row r="56" spans="1:5" ht="15" thickBot="1">
      <c r="A56" s="774"/>
      <c r="B56" s="627" t="s">
        <v>559</v>
      </c>
      <c r="C56" s="377">
        <f>+C55*3.4121411565</f>
        <v>0</v>
      </c>
      <c r="D56" s="658">
        <f>+D55*3.4121411565</f>
        <v>0</v>
      </c>
      <c r="E56" s="377">
        <f>+E55*3.4121411565</f>
        <v>0</v>
      </c>
    </row>
    <row r="57" spans="1:5" ht="15" thickBot="1">
      <c r="A57" s="774"/>
      <c r="B57" s="383" t="s">
        <v>507</v>
      </c>
      <c r="C57" s="397">
        <f>+C46+C48+C50+C52+C54+C56</f>
        <v>0</v>
      </c>
      <c r="D57" s="659">
        <f>+D46+D48+D50+D52+D54+D56</f>
        <v>0</v>
      </c>
      <c r="E57" s="397">
        <f>+E46+E48+E50+E52+E54+E56</f>
        <v>0</v>
      </c>
    </row>
    <row r="58" spans="1:5">
      <c r="A58" s="774"/>
      <c r="B58" s="120"/>
      <c r="C58" s="355"/>
      <c r="D58" s="355"/>
      <c r="E58" s="355"/>
    </row>
    <row r="59" spans="1:5" ht="15" thickBot="1">
      <c r="A59" s="774"/>
      <c r="B59" s="393" t="s">
        <v>542</v>
      </c>
      <c r="C59" s="394"/>
      <c r="D59" s="394"/>
      <c r="E59" s="394"/>
    </row>
    <row r="60" spans="1:5" ht="15" thickBot="1">
      <c r="A60" s="774"/>
      <c r="B60" s="391" t="s">
        <v>509</v>
      </c>
      <c r="C60" s="689"/>
      <c r="D60" s="690"/>
      <c r="E60" s="691"/>
    </row>
    <row r="61" spans="1:5" ht="15" thickBot="1">
      <c r="A61" s="774"/>
      <c r="B61" s="392" t="s">
        <v>508</v>
      </c>
      <c r="C61" s="618">
        <f>+C60*3.4121411565</f>
        <v>0</v>
      </c>
      <c r="D61" s="660">
        <f>+D60*3.4121411565</f>
        <v>0</v>
      </c>
      <c r="E61" s="416">
        <f>+E60*3.4121411565</f>
        <v>0</v>
      </c>
    </row>
    <row r="62" spans="1:5">
      <c r="A62" s="774"/>
      <c r="B62" s="120"/>
      <c r="C62" s="355"/>
      <c r="D62" s="661"/>
      <c r="E62" s="355"/>
    </row>
    <row r="63" spans="1:5" ht="14.4">
      <c r="A63" s="774"/>
      <c r="B63" s="393" t="s">
        <v>518</v>
      </c>
      <c r="C63" s="394"/>
      <c r="D63" s="662"/>
      <c r="E63" s="394"/>
    </row>
    <row r="64" spans="1:5" ht="14.4">
      <c r="A64" s="774"/>
      <c r="B64" s="609" t="s">
        <v>565</v>
      </c>
      <c r="C64" s="692"/>
      <c r="D64" s="693"/>
      <c r="E64" s="685"/>
    </row>
    <row r="65" spans="1:5" ht="14.4">
      <c r="A65" s="774"/>
      <c r="B65" s="609" t="s">
        <v>514</v>
      </c>
      <c r="C65" s="692"/>
      <c r="D65" s="693"/>
      <c r="E65" s="685"/>
    </row>
    <row r="66" spans="1:5" ht="14.4">
      <c r="A66" s="774"/>
      <c r="B66" s="609" t="s">
        <v>513</v>
      </c>
      <c r="C66" s="692"/>
      <c r="D66" s="693"/>
      <c r="E66" s="685"/>
    </row>
    <row r="67" spans="1:5" ht="14.4">
      <c r="A67" s="774"/>
      <c r="B67" s="609" t="s">
        <v>510</v>
      </c>
      <c r="C67" s="692"/>
      <c r="D67" s="693"/>
      <c r="E67" s="685"/>
    </row>
    <row r="68" spans="1:5" ht="14.4">
      <c r="A68" s="774"/>
      <c r="B68" s="609" t="s">
        <v>511</v>
      </c>
      <c r="C68" s="685"/>
      <c r="D68" s="693"/>
      <c r="E68" s="685"/>
    </row>
    <row r="69" spans="1:5" ht="15" thickBot="1">
      <c r="A69" s="774"/>
      <c r="B69" s="609" t="s">
        <v>512</v>
      </c>
      <c r="C69" s="685"/>
      <c r="D69" s="693"/>
      <c r="E69" s="685"/>
    </row>
    <row r="70" spans="1:5" ht="15" thickBot="1">
      <c r="A70" s="774"/>
      <c r="B70" s="395" t="s">
        <v>5</v>
      </c>
      <c r="C70" s="397">
        <f>SUM(C64:C69)</f>
        <v>0</v>
      </c>
      <c r="D70" s="659">
        <f>SUM(D64:D69)</f>
        <v>0</v>
      </c>
      <c r="E70" s="397">
        <f>SUM(E64:E69)</f>
        <v>0</v>
      </c>
    </row>
    <row r="71" spans="1:5" ht="13.8" thickBot="1">
      <c r="A71" s="774"/>
      <c r="B71" s="120"/>
      <c r="C71" s="355"/>
      <c r="D71" s="661"/>
      <c r="E71" s="355"/>
    </row>
    <row r="72" spans="1:5" ht="14.4">
      <c r="A72" s="774"/>
      <c r="B72" s="383" t="s">
        <v>545</v>
      </c>
      <c r="C72" s="616">
        <f>+C70+C61+C57</f>
        <v>0</v>
      </c>
      <c r="D72" s="663">
        <f>+D70+D61+D57</f>
        <v>0</v>
      </c>
      <c r="E72" s="616">
        <f>+E70+E61+E57</f>
        <v>0</v>
      </c>
    </row>
    <row r="73" spans="1:5" ht="15" thickBot="1">
      <c r="A73" s="774"/>
      <c r="B73" s="628" t="s">
        <v>566</v>
      </c>
      <c r="C73" s="694"/>
      <c r="D73" s="695"/>
      <c r="E73" s="696"/>
    </row>
    <row r="74" spans="1:5" ht="15" thickBot="1">
      <c r="A74" s="774"/>
      <c r="B74" s="383" t="s">
        <v>546</v>
      </c>
      <c r="C74" s="617">
        <f>+C72-C73</f>
        <v>0</v>
      </c>
      <c r="D74" s="664">
        <f>+D72-D73</f>
        <v>0</v>
      </c>
      <c r="E74" s="617">
        <f>+E72-E73</f>
        <v>0</v>
      </c>
    </row>
    <row r="75" spans="1:5" ht="14.4">
      <c r="A75" s="774"/>
      <c r="B75" s="382" t="s">
        <v>583</v>
      </c>
      <c r="C75" s="650" t="e">
        <f>+C74/C13</f>
        <v>#DIV/0!</v>
      </c>
      <c r="D75" s="665" t="e">
        <f>+D72/D13</f>
        <v>#DIV/0!</v>
      </c>
      <c r="E75" s="650" t="e">
        <f>+E74/E13</f>
        <v>#DIV/0!</v>
      </c>
    </row>
    <row r="76" spans="1:5" ht="15" thickBot="1">
      <c r="A76" s="774"/>
      <c r="B76" s="382"/>
      <c r="C76" s="387"/>
      <c r="D76" s="388"/>
      <c r="E76" s="388"/>
    </row>
    <row r="77" spans="1:5" ht="18.600000000000001" thickBot="1">
      <c r="B77" s="771" t="s">
        <v>483</v>
      </c>
      <c r="C77" s="772"/>
      <c r="D77" s="772"/>
      <c r="E77" s="773"/>
    </row>
    <row r="78" spans="1:5" ht="14.4">
      <c r="A78" s="774"/>
      <c r="B78" s="389" t="s">
        <v>576</v>
      </c>
      <c r="C78" s="697" t="s">
        <v>19</v>
      </c>
      <c r="D78" s="421" t="s">
        <v>112</v>
      </c>
      <c r="E78" s="421" t="s">
        <v>481</v>
      </c>
    </row>
    <row r="79" spans="1:5" ht="14.4">
      <c r="A79" s="774"/>
      <c r="B79" s="382" t="s">
        <v>7</v>
      </c>
      <c r="C79" s="685"/>
      <c r="D79" s="693"/>
      <c r="E79" s="685"/>
    </row>
    <row r="80" spans="1:5" ht="15" thickBot="1">
      <c r="A80" s="774"/>
      <c r="B80" s="382" t="s">
        <v>8</v>
      </c>
      <c r="C80" s="692"/>
      <c r="D80" s="693"/>
      <c r="E80" s="685"/>
    </row>
    <row r="81" spans="1:5" ht="15" thickBot="1">
      <c r="A81" s="774"/>
      <c r="B81" s="383" t="s">
        <v>6</v>
      </c>
      <c r="C81" s="397">
        <v>30000</v>
      </c>
      <c r="D81" s="659">
        <v>20000</v>
      </c>
      <c r="E81" s="397">
        <f>SUM(E79:E80)</f>
        <v>0</v>
      </c>
    </row>
    <row r="82" spans="1:5" ht="7.5" customHeight="1">
      <c r="B82" s="382"/>
      <c r="C82" s="641"/>
      <c r="D82" s="666"/>
      <c r="E82" s="379"/>
    </row>
    <row r="83" spans="1:5" ht="15" thickBot="1">
      <c r="A83" s="774"/>
      <c r="B83" s="614" t="s">
        <v>231</v>
      </c>
      <c r="C83" s="642"/>
      <c r="D83" s="667"/>
      <c r="E83" s="642"/>
    </row>
    <row r="84" spans="1:5" ht="15" thickTop="1">
      <c r="A84" s="774"/>
      <c r="B84" s="384" t="s">
        <v>230</v>
      </c>
      <c r="C84" s="698"/>
      <c r="D84" s="693"/>
      <c r="E84" s="685"/>
    </row>
    <row r="85" spans="1:5" ht="14.4">
      <c r="A85" s="774"/>
      <c r="B85" s="384" t="s">
        <v>232</v>
      </c>
      <c r="C85" s="698"/>
      <c r="D85" s="693"/>
      <c r="E85" s="685"/>
    </row>
    <row r="86" spans="1:5" ht="14.4">
      <c r="A86" s="774"/>
      <c r="B86" s="384" t="s">
        <v>4</v>
      </c>
      <c r="C86" s="698"/>
      <c r="D86" s="693"/>
      <c r="E86" s="685"/>
    </row>
    <row r="87" spans="1:5" ht="15" thickBot="1">
      <c r="A87" s="774"/>
      <c r="B87" s="384" t="s">
        <v>4</v>
      </c>
      <c r="C87" s="698"/>
      <c r="D87" s="693"/>
      <c r="E87" s="685"/>
    </row>
    <row r="88" spans="1:5" ht="15" thickBot="1">
      <c r="A88" s="774"/>
      <c r="B88" s="640" t="s">
        <v>5</v>
      </c>
      <c r="C88" s="397">
        <f>SUM(C84:C87)</f>
        <v>0</v>
      </c>
      <c r="D88" s="659">
        <f>SUM(D84:D87)</f>
        <v>0</v>
      </c>
      <c r="E88" s="397">
        <f>SUM(E84:E87)</f>
        <v>0</v>
      </c>
    </row>
    <row r="89" spans="1:5" ht="15" thickBot="1">
      <c r="A89" s="774"/>
      <c r="B89" s="383" t="s">
        <v>9</v>
      </c>
      <c r="C89" s="692"/>
      <c r="D89" s="699"/>
      <c r="E89" s="685"/>
    </row>
    <row r="90" spans="1:5" ht="15" thickBot="1">
      <c r="A90" s="774"/>
      <c r="B90" s="383" t="s">
        <v>10</v>
      </c>
      <c r="C90" s="397">
        <f>+C81+(C88-C89)</f>
        <v>30000</v>
      </c>
      <c r="D90" s="659">
        <f>+D81-D88-D89</f>
        <v>20000</v>
      </c>
      <c r="E90" s="397">
        <f>+E81-E88-E89</f>
        <v>0</v>
      </c>
    </row>
    <row r="91" spans="1:5" ht="14.4">
      <c r="A91" s="774"/>
      <c r="B91" s="638" t="s">
        <v>577</v>
      </c>
      <c r="C91" s="681">
        <v>0.2</v>
      </c>
      <c r="D91" s="656">
        <f>1-(D90/C90)</f>
        <v>0.33333333333333337</v>
      </c>
      <c r="E91" s="639">
        <f>1-(E90/C90)</f>
        <v>1</v>
      </c>
    </row>
    <row r="92" spans="1:5" ht="15" thickBot="1">
      <c r="A92" s="774"/>
      <c r="B92" s="382"/>
      <c r="C92" s="385"/>
      <c r="D92" s="386"/>
      <c r="E92" s="386"/>
    </row>
    <row r="93" spans="1:5" ht="18.600000000000001" thickBot="1">
      <c r="B93" s="771" t="s">
        <v>519</v>
      </c>
      <c r="C93" s="772"/>
      <c r="D93" s="772"/>
      <c r="E93" s="773"/>
    </row>
    <row r="94" spans="1:5" ht="14.4">
      <c r="A94" s="774"/>
      <c r="B94" s="649" t="s">
        <v>582</v>
      </c>
      <c r="C94" s="700" t="s">
        <v>601</v>
      </c>
      <c r="D94" s="356"/>
      <c r="E94" s="356"/>
    </row>
    <row r="95" spans="1:5" ht="15" thickBot="1">
      <c r="A95" s="774"/>
      <c r="B95" s="389"/>
      <c r="C95" s="357" t="s">
        <v>524</v>
      </c>
      <c r="D95" s="357" t="s">
        <v>585</v>
      </c>
      <c r="E95" s="357" t="s">
        <v>481</v>
      </c>
    </row>
    <row r="96" spans="1:5" ht="14.4">
      <c r="A96" s="774"/>
      <c r="B96" s="382" t="s">
        <v>533</v>
      </c>
      <c r="C96" s="701"/>
      <c r="D96" s="702"/>
      <c r="E96" s="703"/>
    </row>
    <row r="97" spans="1:5" ht="14.4">
      <c r="A97" s="774"/>
      <c r="B97" s="382" t="s">
        <v>534</v>
      </c>
      <c r="C97" s="704"/>
      <c r="D97" s="693"/>
      <c r="E97" s="705"/>
    </row>
    <row r="98" spans="1:5" ht="15" thickBot="1">
      <c r="A98" s="774"/>
      <c r="B98" s="382" t="s">
        <v>535</v>
      </c>
      <c r="C98" s="706"/>
      <c r="D98" s="707"/>
      <c r="E98" s="708"/>
    </row>
    <row r="99" spans="1:5" s="15" customFormat="1" ht="15" thickBot="1">
      <c r="A99" s="604"/>
      <c r="B99" s="674"/>
      <c r="C99" s="675"/>
      <c r="D99" s="676"/>
      <c r="E99" s="675"/>
    </row>
    <row r="100" spans="1:5" ht="15.6" thickTop="1" thickBot="1">
      <c r="A100" s="412"/>
      <c r="B100" s="413"/>
      <c r="C100" s="414"/>
      <c r="D100" s="415"/>
      <c r="E100" s="415"/>
    </row>
    <row r="101" spans="1:5" ht="15" thickBot="1">
      <c r="A101" s="412"/>
      <c r="B101" s="709" t="s">
        <v>604</v>
      </c>
      <c r="C101" s="710" t="s">
        <v>605</v>
      </c>
      <c r="D101" s="769" t="s">
        <v>606</v>
      </c>
      <c r="E101" s="770"/>
    </row>
    <row r="102" spans="1:5" s="120" customFormat="1" ht="8.25" customHeight="1" thickBot="1">
      <c r="A102" s="603"/>
      <c r="B102" s="672"/>
      <c r="C102" s="670"/>
      <c r="D102" s="671"/>
      <c r="E102" s="673"/>
    </row>
    <row r="103" spans="1:5">
      <c r="B103" s="420" t="s">
        <v>480</v>
      </c>
      <c r="C103" s="419" t="s">
        <v>521</v>
      </c>
      <c r="D103" s="410"/>
      <c r="E103" s="411"/>
    </row>
    <row r="104" spans="1:5" ht="13.8" thickBot="1">
      <c r="B104" s="359" t="s">
        <v>523</v>
      </c>
      <c r="C104" s="360" t="s">
        <v>522</v>
      </c>
      <c r="D104" s="360"/>
      <c r="E104" s="361"/>
    </row>
    <row r="105" spans="1:5">
      <c r="B105" s="720" t="s">
        <v>592</v>
      </c>
    </row>
  </sheetData>
  <sheetProtection insertHyperlinks="0"/>
  <mergeCells count="12">
    <mergeCell ref="D101:E101"/>
    <mergeCell ref="B11:E11"/>
    <mergeCell ref="B93:E93"/>
    <mergeCell ref="A94:A98"/>
    <mergeCell ref="A78:A81"/>
    <mergeCell ref="A83:A92"/>
    <mergeCell ref="B77:E77"/>
    <mergeCell ref="B16:E16"/>
    <mergeCell ref="A17:A27"/>
    <mergeCell ref="A30:A38"/>
    <mergeCell ref="A42:A76"/>
    <mergeCell ref="B42:E42"/>
  </mergeCells>
  <dataValidations count="1">
    <dataValidation operator="greaterThan" showInputMessage="1" showErrorMessage="1" error="Cannot be blank" sqref="C12 D3 F3 B2:B3 C2:F2 C6:C7 C10"/>
  </dataValidations>
  <pageMargins left="0.45" right="0.45" top="0.5" bottom="0.5" header="0.3" footer="0.3"/>
  <pageSetup fitToHeight="3" orientation="landscape" r:id="rId1"/>
  <drawing r:id="rId2"/>
  <legacyDrawing r:id="rId3"/>
</worksheet>
</file>

<file path=xl/worksheets/sheet3.xml><?xml version="1.0" encoding="utf-8"?>
<worksheet xmlns="http://schemas.openxmlformats.org/spreadsheetml/2006/main" xmlns:r="http://schemas.openxmlformats.org/officeDocument/2006/relationships">
  <sheetPr codeName="Sheet2"/>
  <dimension ref="A1:G41"/>
  <sheetViews>
    <sheetView view="pageBreakPreview" zoomScale="60" zoomScaleNormal="80" workbookViewId="0">
      <pane ySplit="1236" topLeftCell="A19" activePane="bottomLeft"/>
      <selection activeCell="G1" sqref="G1:G1048576"/>
      <selection pane="bottomLeft" activeCell="D11" sqref="D11:D12"/>
    </sheetView>
  </sheetViews>
  <sheetFormatPr defaultRowHeight="13.2"/>
  <cols>
    <col min="1" max="1" width="21.88671875" style="15" customWidth="1"/>
    <col min="2" max="2" width="40.88671875" style="15" customWidth="1"/>
    <col min="3" max="3" width="40.88671875" style="15" hidden="1" customWidth="1"/>
    <col min="4" max="4" width="40.88671875" style="15" customWidth="1"/>
    <col min="5" max="7" width="40.88671875" style="15" hidden="1" customWidth="1"/>
    <col min="8" max="256" width="9.109375" style="15"/>
    <col min="257" max="257" width="21.88671875" style="15" customWidth="1"/>
    <col min="258" max="262" width="40.88671875" style="15" customWidth="1"/>
    <col min="263" max="512" width="9.109375" style="15"/>
    <col min="513" max="513" width="21.88671875" style="15" customWidth="1"/>
    <col min="514" max="518" width="40.88671875" style="15" customWidth="1"/>
    <col min="519" max="768" width="9.109375" style="15"/>
    <col min="769" max="769" width="21.88671875" style="15" customWidth="1"/>
    <col min="770" max="774" width="40.88671875" style="15" customWidth="1"/>
    <col min="775" max="1024" width="9.109375" style="15"/>
    <col min="1025" max="1025" width="21.88671875" style="15" customWidth="1"/>
    <col min="1026" max="1030" width="40.88671875" style="15" customWidth="1"/>
    <col min="1031" max="1280" width="9.109375" style="15"/>
    <col min="1281" max="1281" width="21.88671875" style="15" customWidth="1"/>
    <col min="1282" max="1286" width="40.88671875" style="15" customWidth="1"/>
    <col min="1287" max="1536" width="9.109375" style="15"/>
    <col min="1537" max="1537" width="21.88671875" style="15" customWidth="1"/>
    <col min="1538" max="1542" width="40.88671875" style="15" customWidth="1"/>
    <col min="1543" max="1792" width="9.109375" style="15"/>
    <col min="1793" max="1793" width="21.88671875" style="15" customWidth="1"/>
    <col min="1794" max="1798" width="40.88671875" style="15" customWidth="1"/>
    <col min="1799" max="2048" width="9.109375" style="15"/>
    <col min="2049" max="2049" width="21.88671875" style="15" customWidth="1"/>
    <col min="2050" max="2054" width="40.88671875" style="15" customWidth="1"/>
    <col min="2055" max="2304" width="9.109375" style="15"/>
    <col min="2305" max="2305" width="21.88671875" style="15" customWidth="1"/>
    <col min="2306" max="2310" width="40.88671875" style="15" customWidth="1"/>
    <col min="2311" max="2560" width="9.109375" style="15"/>
    <col min="2561" max="2561" width="21.88671875" style="15" customWidth="1"/>
    <col min="2562" max="2566" width="40.88671875" style="15" customWidth="1"/>
    <col min="2567" max="2816" width="9.109375" style="15"/>
    <col min="2817" max="2817" width="21.88671875" style="15" customWidth="1"/>
    <col min="2818" max="2822" width="40.88671875" style="15" customWidth="1"/>
    <col min="2823" max="3072" width="9.109375" style="15"/>
    <col min="3073" max="3073" width="21.88671875" style="15" customWidth="1"/>
    <col min="3074" max="3078" width="40.88671875" style="15" customWidth="1"/>
    <col min="3079" max="3328" width="9.109375" style="15"/>
    <col min="3329" max="3329" width="21.88671875" style="15" customWidth="1"/>
    <col min="3330" max="3334" width="40.88671875" style="15" customWidth="1"/>
    <col min="3335" max="3584" width="9.109375" style="15"/>
    <col min="3585" max="3585" width="21.88671875" style="15" customWidth="1"/>
    <col min="3586" max="3590" width="40.88671875" style="15" customWidth="1"/>
    <col min="3591" max="3840" width="9.109375" style="15"/>
    <col min="3841" max="3841" width="21.88671875" style="15" customWidth="1"/>
    <col min="3842" max="3846" width="40.88671875" style="15" customWidth="1"/>
    <col min="3847" max="4096" width="9.109375" style="15"/>
    <col min="4097" max="4097" width="21.88671875" style="15" customWidth="1"/>
    <col min="4098" max="4102" width="40.88671875" style="15" customWidth="1"/>
    <col min="4103" max="4352" width="9.109375" style="15"/>
    <col min="4353" max="4353" width="21.88671875" style="15" customWidth="1"/>
    <col min="4354" max="4358" width="40.88671875" style="15" customWidth="1"/>
    <col min="4359" max="4608" width="9.109375" style="15"/>
    <col min="4609" max="4609" width="21.88671875" style="15" customWidth="1"/>
    <col min="4610" max="4614" width="40.88671875" style="15" customWidth="1"/>
    <col min="4615" max="4864" width="9.109375" style="15"/>
    <col min="4865" max="4865" width="21.88671875" style="15" customWidth="1"/>
    <col min="4866" max="4870" width="40.88671875" style="15" customWidth="1"/>
    <col min="4871" max="5120" width="9.109375" style="15"/>
    <col min="5121" max="5121" width="21.88671875" style="15" customWidth="1"/>
    <col min="5122" max="5126" width="40.88671875" style="15" customWidth="1"/>
    <col min="5127" max="5376" width="9.109375" style="15"/>
    <col min="5377" max="5377" width="21.88671875" style="15" customWidth="1"/>
    <col min="5378" max="5382" width="40.88671875" style="15" customWidth="1"/>
    <col min="5383" max="5632" width="9.109375" style="15"/>
    <col min="5633" max="5633" width="21.88671875" style="15" customWidth="1"/>
    <col min="5634" max="5638" width="40.88671875" style="15" customWidth="1"/>
    <col min="5639" max="5888" width="9.109375" style="15"/>
    <col min="5889" max="5889" width="21.88671875" style="15" customWidth="1"/>
    <col min="5890" max="5894" width="40.88671875" style="15" customWidth="1"/>
    <col min="5895" max="6144" width="9.109375" style="15"/>
    <col min="6145" max="6145" width="21.88671875" style="15" customWidth="1"/>
    <col min="6146" max="6150" width="40.88671875" style="15" customWidth="1"/>
    <col min="6151" max="6400" width="9.109375" style="15"/>
    <col min="6401" max="6401" width="21.88671875" style="15" customWidth="1"/>
    <col min="6402" max="6406" width="40.88671875" style="15" customWidth="1"/>
    <col min="6407" max="6656" width="9.109375" style="15"/>
    <col min="6657" max="6657" width="21.88671875" style="15" customWidth="1"/>
    <col min="6658" max="6662" width="40.88671875" style="15" customWidth="1"/>
    <col min="6663" max="6912" width="9.109375" style="15"/>
    <col min="6913" max="6913" width="21.88671875" style="15" customWidth="1"/>
    <col min="6914" max="6918" width="40.88671875" style="15" customWidth="1"/>
    <col min="6919" max="7168" width="9.109375" style="15"/>
    <col min="7169" max="7169" width="21.88671875" style="15" customWidth="1"/>
    <col min="7170" max="7174" width="40.88671875" style="15" customWidth="1"/>
    <col min="7175" max="7424" width="9.109375" style="15"/>
    <col min="7425" max="7425" width="21.88671875" style="15" customWidth="1"/>
    <col min="7426" max="7430" width="40.88671875" style="15" customWidth="1"/>
    <col min="7431" max="7680" width="9.109375" style="15"/>
    <col min="7681" max="7681" width="21.88671875" style="15" customWidth="1"/>
    <col min="7682" max="7686" width="40.88671875" style="15" customWidth="1"/>
    <col min="7687" max="7936" width="9.109375" style="15"/>
    <col min="7937" max="7937" width="21.88671875" style="15" customWidth="1"/>
    <col min="7938" max="7942" width="40.88671875" style="15" customWidth="1"/>
    <col min="7943" max="8192" width="9.109375" style="15"/>
    <col min="8193" max="8193" width="21.88671875" style="15" customWidth="1"/>
    <col min="8194" max="8198" width="40.88671875" style="15" customWidth="1"/>
    <col min="8199" max="8448" width="9.109375" style="15"/>
    <col min="8449" max="8449" width="21.88671875" style="15" customWidth="1"/>
    <col min="8450" max="8454" width="40.88671875" style="15" customWidth="1"/>
    <col min="8455" max="8704" width="9.109375" style="15"/>
    <col min="8705" max="8705" width="21.88671875" style="15" customWidth="1"/>
    <col min="8706" max="8710" width="40.88671875" style="15" customWidth="1"/>
    <col min="8711" max="8960" width="9.109375" style="15"/>
    <col min="8961" max="8961" width="21.88671875" style="15" customWidth="1"/>
    <col min="8962" max="8966" width="40.88671875" style="15" customWidth="1"/>
    <col min="8967" max="9216" width="9.109375" style="15"/>
    <col min="9217" max="9217" width="21.88671875" style="15" customWidth="1"/>
    <col min="9218" max="9222" width="40.88671875" style="15" customWidth="1"/>
    <col min="9223" max="9472" width="9.109375" style="15"/>
    <col min="9473" max="9473" width="21.88671875" style="15" customWidth="1"/>
    <col min="9474" max="9478" width="40.88671875" style="15" customWidth="1"/>
    <col min="9479" max="9728" width="9.109375" style="15"/>
    <col min="9729" max="9729" width="21.88671875" style="15" customWidth="1"/>
    <col min="9730" max="9734" width="40.88671875" style="15" customWidth="1"/>
    <col min="9735" max="9984" width="9.109375" style="15"/>
    <col min="9985" max="9985" width="21.88671875" style="15" customWidth="1"/>
    <col min="9986" max="9990" width="40.88671875" style="15" customWidth="1"/>
    <col min="9991" max="10240" width="9.109375" style="15"/>
    <col min="10241" max="10241" width="21.88671875" style="15" customWidth="1"/>
    <col min="10242" max="10246" width="40.88671875" style="15" customWidth="1"/>
    <col min="10247" max="10496" width="9.109375" style="15"/>
    <col min="10497" max="10497" width="21.88671875" style="15" customWidth="1"/>
    <col min="10498" max="10502" width="40.88671875" style="15" customWidth="1"/>
    <col min="10503" max="10752" width="9.109375" style="15"/>
    <col min="10753" max="10753" width="21.88671875" style="15" customWidth="1"/>
    <col min="10754" max="10758" width="40.88671875" style="15" customWidth="1"/>
    <col min="10759" max="11008" width="9.109375" style="15"/>
    <col min="11009" max="11009" width="21.88671875" style="15" customWidth="1"/>
    <col min="11010" max="11014" width="40.88671875" style="15" customWidth="1"/>
    <col min="11015" max="11264" width="9.109375" style="15"/>
    <col min="11265" max="11265" width="21.88671875" style="15" customWidth="1"/>
    <col min="11266" max="11270" width="40.88671875" style="15" customWidth="1"/>
    <col min="11271" max="11520" width="9.109375" style="15"/>
    <col min="11521" max="11521" width="21.88671875" style="15" customWidth="1"/>
    <col min="11522" max="11526" width="40.88671875" style="15" customWidth="1"/>
    <col min="11527" max="11776" width="9.109375" style="15"/>
    <col min="11777" max="11777" width="21.88671875" style="15" customWidth="1"/>
    <col min="11778" max="11782" width="40.88671875" style="15" customWidth="1"/>
    <col min="11783" max="12032" width="9.109375" style="15"/>
    <col min="12033" max="12033" width="21.88671875" style="15" customWidth="1"/>
    <col min="12034" max="12038" width="40.88671875" style="15" customWidth="1"/>
    <col min="12039" max="12288" width="9.109375" style="15"/>
    <col min="12289" max="12289" width="21.88671875" style="15" customWidth="1"/>
    <col min="12290" max="12294" width="40.88671875" style="15" customWidth="1"/>
    <col min="12295" max="12544" width="9.109375" style="15"/>
    <col min="12545" max="12545" width="21.88671875" style="15" customWidth="1"/>
    <col min="12546" max="12550" width="40.88671875" style="15" customWidth="1"/>
    <col min="12551" max="12800" width="9.109375" style="15"/>
    <col min="12801" max="12801" width="21.88671875" style="15" customWidth="1"/>
    <col min="12802" max="12806" width="40.88671875" style="15" customWidth="1"/>
    <col min="12807" max="13056" width="9.109375" style="15"/>
    <col min="13057" max="13057" width="21.88671875" style="15" customWidth="1"/>
    <col min="13058" max="13062" width="40.88671875" style="15" customWidth="1"/>
    <col min="13063" max="13312" width="9.109375" style="15"/>
    <col min="13313" max="13313" width="21.88671875" style="15" customWidth="1"/>
    <col min="13314" max="13318" width="40.88671875" style="15" customWidth="1"/>
    <col min="13319" max="13568" width="9.109375" style="15"/>
    <col min="13569" max="13569" width="21.88671875" style="15" customWidth="1"/>
    <col min="13570" max="13574" width="40.88671875" style="15" customWidth="1"/>
    <col min="13575" max="13824" width="9.109375" style="15"/>
    <col min="13825" max="13825" width="21.88671875" style="15" customWidth="1"/>
    <col min="13826" max="13830" width="40.88671875" style="15" customWidth="1"/>
    <col min="13831" max="14080" width="9.109375" style="15"/>
    <col min="14081" max="14081" width="21.88671875" style="15" customWidth="1"/>
    <col min="14082" max="14086" width="40.88671875" style="15" customWidth="1"/>
    <col min="14087" max="14336" width="9.109375" style="15"/>
    <col min="14337" max="14337" width="21.88671875" style="15" customWidth="1"/>
    <col min="14338" max="14342" width="40.88671875" style="15" customWidth="1"/>
    <col min="14343" max="14592" width="9.109375" style="15"/>
    <col min="14593" max="14593" width="21.88671875" style="15" customWidth="1"/>
    <col min="14594" max="14598" width="40.88671875" style="15" customWidth="1"/>
    <col min="14599" max="14848" width="9.109375" style="15"/>
    <col min="14849" max="14849" width="21.88671875" style="15" customWidth="1"/>
    <col min="14850" max="14854" width="40.88671875" style="15" customWidth="1"/>
    <col min="14855" max="15104" width="9.109375" style="15"/>
    <col min="15105" max="15105" width="21.88671875" style="15" customWidth="1"/>
    <col min="15106" max="15110" width="40.88671875" style="15" customWidth="1"/>
    <col min="15111" max="15360" width="9.109375" style="15"/>
    <col min="15361" max="15361" width="21.88671875" style="15" customWidth="1"/>
    <col min="15362" max="15366" width="40.88671875" style="15" customWidth="1"/>
    <col min="15367" max="15616" width="9.109375" style="15"/>
    <col min="15617" max="15617" width="21.88671875" style="15" customWidth="1"/>
    <col min="15618" max="15622" width="40.88671875" style="15" customWidth="1"/>
    <col min="15623" max="15872" width="9.109375" style="15"/>
    <col min="15873" max="15873" width="21.88671875" style="15" customWidth="1"/>
    <col min="15874" max="15878" width="40.88671875" style="15" customWidth="1"/>
    <col min="15879" max="16128" width="9.109375" style="15"/>
    <col min="16129" max="16129" width="21.88671875" style="15" customWidth="1"/>
    <col min="16130" max="16134" width="40.88671875" style="15" customWidth="1"/>
    <col min="16135" max="16384" width="9.109375" style="15"/>
  </cols>
  <sheetData>
    <row r="1" spans="1:7" ht="30" customHeight="1">
      <c r="B1" s="16" t="s">
        <v>496</v>
      </c>
      <c r="E1" s="17"/>
      <c r="F1" s="17" t="s">
        <v>23</v>
      </c>
    </row>
    <row r="2" spans="1:7" ht="15">
      <c r="B2" s="18" t="s">
        <v>497</v>
      </c>
    </row>
    <row r="3" spans="1:7" ht="17.25" customHeight="1">
      <c r="B3" s="19" t="s">
        <v>498</v>
      </c>
      <c r="D3" s="17"/>
      <c r="G3" s="17"/>
    </row>
    <row r="4" spans="1:7" ht="7.5" customHeight="1" thickBot="1">
      <c r="B4" s="19"/>
      <c r="D4" s="17"/>
      <c r="G4" s="17"/>
    </row>
    <row r="5" spans="1:7" ht="13.8" hidden="1" thickBot="1">
      <c r="A5" s="20"/>
      <c r="B5" s="21"/>
      <c r="C5" s="21"/>
      <c r="D5" s="22"/>
      <c r="E5" s="20" t="s">
        <v>24</v>
      </c>
      <c r="F5" s="20" t="s">
        <v>24</v>
      </c>
      <c r="G5" s="22"/>
    </row>
    <row r="6" spans="1:7" ht="18.75" customHeight="1" thickBot="1">
      <c r="A6" s="23" t="s">
        <v>25</v>
      </c>
      <c r="B6" s="24" t="s">
        <v>26</v>
      </c>
      <c r="C6" s="25" t="s">
        <v>27</v>
      </c>
      <c r="D6" s="24" t="s">
        <v>28</v>
      </c>
      <c r="E6" s="24" t="s">
        <v>29</v>
      </c>
      <c r="F6" s="24" t="s">
        <v>30</v>
      </c>
      <c r="G6" s="24" t="s">
        <v>536</v>
      </c>
    </row>
    <row r="7" spans="1:7" ht="15" customHeight="1">
      <c r="A7" s="777" t="s">
        <v>31</v>
      </c>
      <c r="B7" s="778"/>
      <c r="C7" s="778" t="s">
        <v>32</v>
      </c>
      <c r="D7" s="778" t="s">
        <v>33</v>
      </c>
      <c r="E7" s="778" t="s">
        <v>34</v>
      </c>
      <c r="F7" s="784"/>
      <c r="G7" s="778"/>
    </row>
    <row r="8" spans="1:7" ht="25.5" customHeight="1">
      <c r="A8" s="791"/>
      <c r="B8" s="785"/>
      <c r="C8" s="785"/>
      <c r="D8" s="785"/>
      <c r="E8" s="785"/>
      <c r="F8" s="785"/>
      <c r="G8" s="785"/>
    </row>
    <row r="9" spans="1:7" s="18" customFormat="1" ht="19.2" thickBot="1">
      <c r="A9" s="26" t="s">
        <v>227</v>
      </c>
      <c r="B9" s="39"/>
      <c r="C9" s="116">
        <v>1</v>
      </c>
      <c r="D9" s="711">
        <v>1</v>
      </c>
      <c r="E9" s="116">
        <v>1</v>
      </c>
      <c r="F9" s="39"/>
      <c r="G9" s="116">
        <v>1</v>
      </c>
    </row>
    <row r="10" spans="1:7" ht="52.8">
      <c r="A10" s="777" t="s">
        <v>35</v>
      </c>
      <c r="B10" s="118" t="s">
        <v>476</v>
      </c>
      <c r="C10" s="28"/>
      <c r="D10" s="27" t="s">
        <v>36</v>
      </c>
      <c r="E10" s="28" t="s">
        <v>37</v>
      </c>
      <c r="F10" s="28"/>
      <c r="G10" s="27"/>
    </row>
    <row r="11" spans="1:7" ht="39.6">
      <c r="A11" s="776"/>
      <c r="B11" s="27"/>
      <c r="C11" s="29"/>
      <c r="D11" s="789" t="s">
        <v>38</v>
      </c>
      <c r="E11" s="29" t="s">
        <v>39</v>
      </c>
      <c r="F11" s="29"/>
      <c r="G11" s="789"/>
    </row>
    <row r="12" spans="1:7" ht="52.8">
      <c r="A12" s="30"/>
      <c r="B12" s="27"/>
      <c r="C12" s="29"/>
      <c r="D12" s="790"/>
      <c r="E12" s="31" t="s">
        <v>40</v>
      </c>
      <c r="F12" s="31"/>
      <c r="G12" s="790"/>
    </row>
    <row r="13" spans="1:7" s="18" customFormat="1" ht="19.2" thickBot="1">
      <c r="A13" s="26" t="s">
        <v>227</v>
      </c>
      <c r="B13" s="711">
        <v>1</v>
      </c>
      <c r="C13" s="39"/>
      <c r="D13" s="711">
        <v>1</v>
      </c>
      <c r="E13" s="116">
        <v>1</v>
      </c>
      <c r="F13" s="39"/>
      <c r="G13" s="116">
        <v>1</v>
      </c>
    </row>
    <row r="14" spans="1:7">
      <c r="A14" s="777" t="s">
        <v>41</v>
      </c>
      <c r="B14" s="778" t="s">
        <v>42</v>
      </c>
      <c r="C14" s="778" t="s">
        <v>43</v>
      </c>
      <c r="D14" s="778"/>
      <c r="E14" s="778" t="s">
        <v>44</v>
      </c>
      <c r="F14" s="784" t="s">
        <v>45</v>
      </c>
      <c r="G14" s="778"/>
    </row>
    <row r="15" spans="1:7" ht="54.75" customHeight="1">
      <c r="A15" s="776"/>
      <c r="B15" s="785"/>
      <c r="C15" s="785"/>
      <c r="D15" s="785"/>
      <c r="E15" s="779"/>
      <c r="F15" s="779"/>
      <c r="G15" s="785"/>
    </row>
    <row r="16" spans="1:7" s="18" customFormat="1" ht="19.2" thickBot="1">
      <c r="A16" s="26" t="s">
        <v>227</v>
      </c>
      <c r="B16" s="711" t="s">
        <v>87</v>
      </c>
      <c r="C16" s="116">
        <v>1</v>
      </c>
      <c r="D16" s="39"/>
      <c r="E16" s="116">
        <v>1</v>
      </c>
      <c r="F16" s="39"/>
      <c r="G16" s="39"/>
    </row>
    <row r="17" spans="1:7" ht="27" thickBot="1">
      <c r="A17" s="777" t="s">
        <v>46</v>
      </c>
      <c r="B17" s="27" t="s">
        <v>47</v>
      </c>
      <c r="C17" s="28" t="s">
        <v>48</v>
      </c>
      <c r="D17" s="786" t="s">
        <v>49</v>
      </c>
      <c r="E17" s="28" t="s">
        <v>50</v>
      </c>
      <c r="F17" s="28" t="s">
        <v>51</v>
      </c>
      <c r="G17" s="786"/>
    </row>
    <row r="18" spans="1:7" ht="13.8" thickBot="1">
      <c r="A18" s="776"/>
      <c r="B18" s="32" t="s">
        <v>52</v>
      </c>
      <c r="C18" s="33" t="s">
        <v>53</v>
      </c>
      <c r="D18" s="787"/>
      <c r="E18" s="29"/>
      <c r="F18" s="29"/>
      <c r="G18" s="787"/>
    </row>
    <row r="19" spans="1:7" ht="13.8" thickBot="1">
      <c r="A19" s="776"/>
      <c r="B19" s="32" t="s">
        <v>54</v>
      </c>
      <c r="C19" s="29"/>
      <c r="D19" s="787"/>
      <c r="E19" s="29"/>
      <c r="F19" s="29"/>
      <c r="G19" s="787"/>
    </row>
    <row r="20" spans="1:7">
      <c r="A20" s="776"/>
      <c r="B20" s="34"/>
      <c r="C20" s="29"/>
      <c r="D20" s="788"/>
      <c r="E20" s="29"/>
      <c r="F20" s="29"/>
      <c r="G20" s="788"/>
    </row>
    <row r="21" spans="1:7" s="18" customFormat="1" ht="19.2" thickBot="1">
      <c r="A21" s="26" t="s">
        <v>83</v>
      </c>
      <c r="B21" s="711" t="s">
        <v>87</v>
      </c>
      <c r="C21" s="116">
        <v>1</v>
      </c>
      <c r="D21" s="711">
        <v>1</v>
      </c>
      <c r="E21" s="116">
        <v>1</v>
      </c>
      <c r="F21" s="39"/>
      <c r="G21" s="116">
        <v>1</v>
      </c>
    </row>
    <row r="22" spans="1:7" ht="39.6">
      <c r="A22" s="30" t="s">
        <v>55</v>
      </c>
      <c r="B22" s="27"/>
      <c r="C22" s="27" t="s">
        <v>56</v>
      </c>
      <c r="D22" s="27" t="s">
        <v>57</v>
      </c>
      <c r="E22" s="35"/>
      <c r="F22" s="35"/>
      <c r="G22" s="27"/>
    </row>
    <row r="23" spans="1:7" s="18" customFormat="1" ht="19.2" thickBot="1">
      <c r="A23" s="26" t="s">
        <v>227</v>
      </c>
      <c r="B23" s="39"/>
      <c r="C23" s="116">
        <v>1</v>
      </c>
      <c r="D23" s="711" t="s">
        <v>87</v>
      </c>
      <c r="E23" s="39"/>
      <c r="F23" s="39"/>
      <c r="G23" s="116">
        <v>1</v>
      </c>
    </row>
    <row r="24" spans="1:7" ht="39.6">
      <c r="A24" s="777" t="s">
        <v>58</v>
      </c>
      <c r="B24" s="27" t="s">
        <v>59</v>
      </c>
      <c r="C24" s="27" t="s">
        <v>60</v>
      </c>
      <c r="D24" s="27" t="s">
        <v>61</v>
      </c>
      <c r="E24" s="27" t="s">
        <v>62</v>
      </c>
      <c r="F24" s="27"/>
      <c r="G24" s="27"/>
    </row>
    <row r="25" spans="1:7" ht="72.75" customHeight="1">
      <c r="A25" s="776"/>
      <c r="B25" s="27"/>
      <c r="C25" s="27" t="s">
        <v>63</v>
      </c>
      <c r="D25" s="27" t="s">
        <v>64</v>
      </c>
      <c r="E25" s="27" t="s">
        <v>65</v>
      </c>
      <c r="F25" s="27"/>
      <c r="G25" s="27"/>
    </row>
    <row r="26" spans="1:7" ht="60" customHeight="1">
      <c r="A26" s="776"/>
      <c r="B26" s="27"/>
      <c r="C26" s="36"/>
      <c r="D26" s="27" t="s">
        <v>66</v>
      </c>
      <c r="E26" s="27" t="s">
        <v>67</v>
      </c>
      <c r="F26" s="27"/>
      <c r="G26" s="27"/>
    </row>
    <row r="27" spans="1:7" s="18" customFormat="1" ht="19.2" thickBot="1">
      <c r="A27" s="26" t="s">
        <v>227</v>
      </c>
      <c r="B27" s="711">
        <v>1</v>
      </c>
      <c r="C27" s="117">
        <f>HPSB_Guiding_Principles_Wksht!A86</f>
        <v>0.86206896551724133</v>
      </c>
      <c r="D27" s="711">
        <v>1</v>
      </c>
      <c r="E27" s="117">
        <f>+HPSB_Guiding_Principles_Wksht!A86</f>
        <v>0.86206896551724133</v>
      </c>
      <c r="F27" s="39"/>
      <c r="G27" s="116">
        <v>1</v>
      </c>
    </row>
    <row r="28" spans="1:7" ht="132" customHeight="1">
      <c r="A28" s="777" t="s">
        <v>68</v>
      </c>
      <c r="B28" s="27" t="s">
        <v>69</v>
      </c>
      <c r="C28" s="778"/>
      <c r="D28" s="437" t="s">
        <v>70</v>
      </c>
      <c r="E28" s="778"/>
      <c r="F28" s="784" t="s">
        <v>71</v>
      </c>
      <c r="G28" s="437"/>
    </row>
    <row r="29" spans="1:7" ht="39.6">
      <c r="A29" s="776"/>
      <c r="B29" s="27"/>
      <c r="C29" s="785"/>
      <c r="D29" s="27" t="s">
        <v>72</v>
      </c>
      <c r="E29" s="785"/>
      <c r="F29" s="785"/>
      <c r="G29" s="27"/>
    </row>
    <row r="30" spans="1:7" s="18" customFormat="1" ht="19.2" thickBot="1">
      <c r="A30" s="26" t="s">
        <v>83</v>
      </c>
      <c r="B30" s="711">
        <v>1</v>
      </c>
      <c r="C30" s="39"/>
      <c r="D30" s="711">
        <v>1</v>
      </c>
      <c r="E30" s="39"/>
      <c r="F30" s="40">
        <v>1</v>
      </c>
      <c r="G30" s="116">
        <v>1</v>
      </c>
    </row>
    <row r="31" spans="1:7" ht="42.75" customHeight="1">
      <c r="A31" s="37" t="s">
        <v>73</v>
      </c>
      <c r="B31" s="28"/>
      <c r="C31" s="28"/>
      <c r="D31" s="28"/>
      <c r="E31" s="38" t="s">
        <v>74</v>
      </c>
      <c r="F31" s="27" t="s">
        <v>75</v>
      </c>
      <c r="G31" s="435"/>
    </row>
    <row r="32" spans="1:7" s="18" customFormat="1" ht="19.2" thickBot="1">
      <c r="A32" s="26" t="s">
        <v>227</v>
      </c>
      <c r="B32" s="39"/>
      <c r="C32" s="39"/>
      <c r="D32" s="39"/>
      <c r="E32" s="116">
        <v>1</v>
      </c>
      <c r="F32" s="39"/>
      <c r="G32" s="39"/>
    </row>
    <row r="33" spans="1:7" ht="52.8">
      <c r="A33" s="777" t="s">
        <v>76</v>
      </c>
      <c r="B33" s="778" t="s">
        <v>77</v>
      </c>
      <c r="C33" s="778" t="s">
        <v>85</v>
      </c>
      <c r="D33" s="27" t="s">
        <v>78</v>
      </c>
      <c r="E33" s="781" t="s">
        <v>86</v>
      </c>
      <c r="F33" s="784" t="s">
        <v>1</v>
      </c>
      <c r="G33" s="27"/>
    </row>
    <row r="34" spans="1:7" ht="15" customHeight="1">
      <c r="A34" s="776"/>
      <c r="B34" s="779"/>
      <c r="C34" s="780"/>
      <c r="D34" s="785" t="s">
        <v>79</v>
      </c>
      <c r="E34" s="782"/>
      <c r="F34" s="779"/>
      <c r="G34" s="785"/>
    </row>
    <row r="35" spans="1:7" ht="65.25" customHeight="1">
      <c r="A35" s="776"/>
      <c r="B35" s="779"/>
      <c r="C35" s="780"/>
      <c r="D35" s="785"/>
      <c r="E35" s="783"/>
      <c r="F35" s="779"/>
      <c r="G35" s="785"/>
    </row>
    <row r="36" spans="1:7" s="18" customFormat="1" ht="19.2" thickBot="1">
      <c r="A36" s="26" t="s">
        <v>227</v>
      </c>
      <c r="B36" s="711">
        <v>1</v>
      </c>
      <c r="C36" s="116">
        <v>1</v>
      </c>
      <c r="D36" s="711">
        <v>1</v>
      </c>
      <c r="E36" s="116">
        <v>1</v>
      </c>
      <c r="F36" s="39"/>
      <c r="G36" s="116">
        <v>1</v>
      </c>
    </row>
    <row r="37" spans="1:7" ht="39.6">
      <c r="A37" s="776" t="s">
        <v>80</v>
      </c>
      <c r="B37" s="29"/>
      <c r="C37" s="29"/>
      <c r="D37" s="29"/>
      <c r="E37" s="27" t="s">
        <v>81</v>
      </c>
      <c r="F37" s="27"/>
      <c r="G37" s="434"/>
    </row>
    <row r="38" spans="1:7" ht="39.6">
      <c r="A38" s="776"/>
      <c r="B38" s="29"/>
      <c r="C38" s="29"/>
      <c r="D38" s="29"/>
      <c r="E38" s="27" t="s">
        <v>82</v>
      </c>
      <c r="F38" s="27"/>
      <c r="G38" s="434"/>
    </row>
    <row r="39" spans="1:7" s="18" customFormat="1" ht="19.2" thickBot="1">
      <c r="A39" s="26" t="s">
        <v>227</v>
      </c>
      <c r="B39" s="41"/>
      <c r="C39" s="41"/>
      <c r="D39" s="41"/>
      <c r="E39" s="116">
        <v>1</v>
      </c>
      <c r="F39" s="41"/>
      <c r="G39" s="41"/>
    </row>
    <row r="40" spans="1:7" ht="24.75" customHeight="1" thickBot="1">
      <c r="A40" s="43" t="s">
        <v>228</v>
      </c>
      <c r="B40" s="44">
        <f>AVERAGE(B13,B16,B21,B27,B30,B36)</f>
        <v>1</v>
      </c>
      <c r="C40" s="44">
        <f>AVERAGE(C9,C16,C21,C23,C27,C36)</f>
        <v>0.97701149425287348</v>
      </c>
      <c r="D40" s="45">
        <f>AVERAGE(D9,D13,D21,D23,D27,D30,D36)</f>
        <v>1</v>
      </c>
      <c r="E40" s="45">
        <f>AVERAGE(E9,E13,E16,E21,E27,E32,E36,E39)</f>
        <v>0.98275862068965514</v>
      </c>
      <c r="F40" s="46">
        <f>+F30</f>
        <v>1</v>
      </c>
      <c r="G40" s="45">
        <f>AVERAGE(G9,G13,G21,G23,G27,G30,G36)</f>
        <v>1</v>
      </c>
    </row>
    <row r="41" spans="1:7" ht="16.8" hidden="1" thickBot="1">
      <c r="A41" s="42" t="s">
        <v>84</v>
      </c>
    </row>
  </sheetData>
  <sheetProtection sheet="1" objects="1" scenarios="1" insertHyperlinks="0"/>
  <mergeCells count="33">
    <mergeCell ref="G7:G8"/>
    <mergeCell ref="G11:G12"/>
    <mergeCell ref="G14:G15"/>
    <mergeCell ref="G17:G20"/>
    <mergeCell ref="G34:G35"/>
    <mergeCell ref="F7:F8"/>
    <mergeCell ref="A7:A8"/>
    <mergeCell ref="B7:B8"/>
    <mergeCell ref="C7:C8"/>
    <mergeCell ref="D7:D8"/>
    <mergeCell ref="E7:E8"/>
    <mergeCell ref="A10:A11"/>
    <mergeCell ref="D11:D12"/>
    <mergeCell ref="A14:A15"/>
    <mergeCell ref="B14:B15"/>
    <mergeCell ref="C14:C15"/>
    <mergeCell ref="D14:D15"/>
    <mergeCell ref="F33:F35"/>
    <mergeCell ref="D34:D35"/>
    <mergeCell ref="E14:E15"/>
    <mergeCell ref="F14:F15"/>
    <mergeCell ref="A17:A20"/>
    <mergeCell ref="D17:D20"/>
    <mergeCell ref="A24:A26"/>
    <mergeCell ref="A28:A29"/>
    <mergeCell ref="C28:C29"/>
    <mergeCell ref="E28:E29"/>
    <mergeCell ref="F28:F29"/>
    <mergeCell ref="A37:A38"/>
    <mergeCell ref="A33:A35"/>
    <mergeCell ref="B33:B35"/>
    <mergeCell ref="C33:C35"/>
    <mergeCell ref="E33:E35"/>
  </mergeCells>
  <hyperlinks>
    <hyperlink ref="C6" r:id="rId1"/>
  </hyperlinks>
  <printOptions horizontalCentered="1"/>
  <pageMargins left="0.4" right="0.4" top="0.5" bottom="0.5" header="0.3" footer="0.3"/>
  <pageSetup orientation="landscape" r:id="rId2"/>
  <headerFooter alignWithMargins="0">
    <oddFooter>&amp;L&amp;"Arial,Italic"&amp;6&amp;F, printed on &amp;D at &amp;T&amp;R&amp;6&amp;P of &amp;N</oddFooter>
  </headerFooter>
  <drawing r:id="rId3"/>
  <legacyDrawing r:id="rId4"/>
</worksheet>
</file>

<file path=xl/worksheets/sheet4.xml><?xml version="1.0" encoding="utf-8"?>
<worksheet xmlns="http://schemas.openxmlformats.org/spreadsheetml/2006/main" xmlns:r="http://schemas.openxmlformats.org/officeDocument/2006/relationships">
  <sheetPr codeName="Sheet3"/>
  <dimension ref="A1:K87"/>
  <sheetViews>
    <sheetView view="pageBreakPreview" zoomScale="60" zoomScaleNormal="100" workbookViewId="0">
      <selection activeCell="A9" sqref="A9:XFD9"/>
    </sheetView>
  </sheetViews>
  <sheetFormatPr defaultColWidth="9.109375" defaultRowHeight="13.2"/>
  <cols>
    <col min="1" max="1" width="18.5546875" style="129" customWidth="1"/>
    <col min="2" max="2" width="11" style="602" customWidth="1"/>
    <col min="3" max="3" width="1.5546875" style="129" customWidth="1"/>
    <col min="4" max="4" width="28.88671875" style="130" customWidth="1"/>
    <col min="5" max="5" width="56.109375" style="130" customWidth="1"/>
    <col min="6" max="6" width="9.109375" style="223" customWidth="1"/>
    <col min="7" max="7" width="25.33203125" style="126" hidden="1" customWidth="1"/>
    <col min="8" max="8" width="83.6640625" style="127" hidden="1" customWidth="1"/>
    <col min="9" max="9" width="7.44140625" style="127" hidden="1" customWidth="1"/>
    <col min="10" max="10" width="12.109375" style="127" hidden="1" customWidth="1"/>
    <col min="11" max="11" width="10.6640625" style="127" hidden="1" customWidth="1"/>
    <col min="12" max="12" width="4.109375" style="128" customWidth="1"/>
    <col min="13" max="13" width="4.5546875" style="128" customWidth="1"/>
    <col min="14" max="16384" width="9.109375" style="128"/>
  </cols>
  <sheetData>
    <row r="1" spans="1:11" s="175" customFormat="1">
      <c r="A1" s="233"/>
      <c r="B1" s="588"/>
      <c r="C1" s="133"/>
      <c r="D1" s="232"/>
      <c r="E1" s="134"/>
      <c r="F1" s="439"/>
      <c r="G1" s="234"/>
      <c r="H1" s="234"/>
      <c r="I1" s="234"/>
      <c r="J1" s="234"/>
      <c r="K1" s="234"/>
    </row>
    <row r="2" spans="1:11" s="175" customFormat="1" ht="13.8">
      <c r="A2" s="712" t="s">
        <v>589</v>
      </c>
      <c r="B2" s="588"/>
      <c r="C2" s="133"/>
      <c r="D2" s="232"/>
      <c r="E2" s="134"/>
      <c r="F2" s="439"/>
      <c r="G2" s="234"/>
      <c r="H2" s="234"/>
      <c r="I2" s="234"/>
      <c r="J2" s="234"/>
      <c r="K2" s="234"/>
    </row>
    <row r="3" spans="1:11" s="175" customFormat="1">
      <c r="A3" s="233"/>
      <c r="B3" s="588"/>
      <c r="C3" s="133"/>
      <c r="D3" s="232"/>
      <c r="E3" s="137"/>
      <c r="F3" s="439"/>
      <c r="G3" s="234"/>
      <c r="H3" s="234"/>
      <c r="I3" s="234"/>
      <c r="J3" s="234"/>
      <c r="K3" s="234"/>
    </row>
    <row r="4" spans="1:11" s="139" customFormat="1" ht="13.8" thickBot="1">
      <c r="A4" s="238" t="s">
        <v>471</v>
      </c>
      <c r="B4" s="484"/>
      <c r="C4" s="230"/>
      <c r="D4" s="230"/>
      <c r="E4" s="230"/>
      <c r="F4" s="440"/>
    </row>
    <row r="5" spans="1:11" s="139" customFormat="1">
      <c r="A5" s="792" t="s">
        <v>515</v>
      </c>
      <c r="B5" s="793"/>
      <c r="C5" s="794"/>
      <c r="D5" s="245" t="s">
        <v>467</v>
      </c>
      <c r="E5" s="244"/>
      <c r="F5" s="441"/>
    </row>
    <row r="6" spans="1:11" s="139" customFormat="1">
      <c r="A6" s="798" t="s">
        <v>466</v>
      </c>
      <c r="B6" s="799"/>
      <c r="C6" s="239"/>
      <c r="D6" s="246" t="s">
        <v>469</v>
      </c>
      <c r="E6" s="170"/>
      <c r="F6" s="441"/>
    </row>
    <row r="7" spans="1:11" s="139" customFormat="1">
      <c r="A7" s="235" t="s">
        <v>240</v>
      </c>
      <c r="B7" s="589"/>
      <c r="C7" s="240"/>
      <c r="D7" s="247" t="s">
        <v>470</v>
      </c>
      <c r="E7" s="237"/>
      <c r="F7" s="441"/>
    </row>
    <row r="8" spans="1:11" s="139" customFormat="1" ht="13.8" thickBot="1">
      <c r="A8" s="241" t="s">
        <v>241</v>
      </c>
      <c r="B8" s="590"/>
      <c r="C8" s="243"/>
      <c r="D8" s="248" t="s">
        <v>468</v>
      </c>
      <c r="E8" s="141"/>
      <c r="F8" s="442"/>
    </row>
    <row r="9" spans="1:11" s="132" customFormat="1" ht="13.8" thickBot="1">
      <c r="A9" s="143"/>
      <c r="B9" s="588"/>
      <c r="C9" s="133"/>
      <c r="D9" s="138"/>
      <c r="E9" s="137"/>
      <c r="F9" s="443"/>
      <c r="G9" s="131"/>
      <c r="H9" s="127"/>
      <c r="I9" s="127"/>
      <c r="J9" s="127"/>
      <c r="K9" s="127"/>
    </row>
    <row r="10" spans="1:11" s="132" customFormat="1" ht="13.8" thickBot="1">
      <c r="A10" s="144" t="s">
        <v>242</v>
      </c>
      <c r="B10" s="591"/>
      <c r="C10" s="144"/>
      <c r="D10" s="145"/>
      <c r="E10" s="145"/>
      <c r="F10" s="444"/>
      <c r="G10" s="131"/>
      <c r="H10" s="127"/>
      <c r="I10" s="127"/>
      <c r="J10" s="127"/>
      <c r="K10" s="127"/>
    </row>
    <row r="11" spans="1:11" s="132" customFormat="1">
      <c r="A11" s="146" t="s">
        <v>123</v>
      </c>
      <c r="B11" s="592"/>
      <c r="C11" s="147"/>
      <c r="D11" s="148"/>
      <c r="E11" s="149"/>
      <c r="F11" s="445"/>
      <c r="G11" s="131"/>
      <c r="H11" s="127"/>
      <c r="I11" s="127"/>
      <c r="J11" s="127"/>
      <c r="K11" s="127"/>
    </row>
    <row r="12" spans="1:11" s="132" customFormat="1">
      <c r="A12" s="150" t="s">
        <v>243</v>
      </c>
      <c r="B12" s="593">
        <f>COUNTIF(A13:A14,"Yes")</f>
        <v>2</v>
      </c>
      <c r="C12" s="151"/>
      <c r="D12" s="151"/>
      <c r="E12" s="152" t="s">
        <v>244</v>
      </c>
      <c r="F12" s="446">
        <f>SUM(F13:F14)</f>
        <v>2</v>
      </c>
      <c r="G12" s="131"/>
      <c r="H12" s="127"/>
      <c r="I12" s="127"/>
      <c r="J12" s="127"/>
      <c r="K12" s="127"/>
    </row>
    <row r="13" spans="1:11" s="132" customFormat="1">
      <c r="A13" s="153" t="s">
        <v>465</v>
      </c>
      <c r="B13" s="594" t="s">
        <v>245</v>
      </c>
      <c r="C13" s="154"/>
      <c r="D13" s="155" t="str">
        <f>HYPERLINK("#"&amp;"HPSBI.1_Ref","Integrated Design")</f>
        <v>Integrated Design</v>
      </c>
      <c r="E13" s="156"/>
      <c r="F13" s="447">
        <v>1</v>
      </c>
      <c r="G13" s="157" t="s">
        <v>246</v>
      </c>
      <c r="H13" s="127"/>
      <c r="I13" s="127"/>
      <c r="J13" s="127"/>
      <c r="K13" s="127"/>
    </row>
    <row r="14" spans="1:11" s="132" customFormat="1">
      <c r="A14" s="153" t="s">
        <v>465</v>
      </c>
      <c r="B14" s="595" t="s">
        <v>247</v>
      </c>
      <c r="C14" s="158"/>
      <c r="D14" s="159" t="str">
        <f>HYPERLINK("#"&amp;"HPSBI.2_Ref","Commissioning")</f>
        <v>Commissioning</v>
      </c>
      <c r="E14" s="160"/>
      <c r="F14" s="448">
        <v>1</v>
      </c>
      <c r="G14" s="157" t="s">
        <v>246</v>
      </c>
      <c r="H14" s="127"/>
      <c r="I14" s="127"/>
      <c r="J14" s="127"/>
      <c r="K14" s="127"/>
    </row>
    <row r="15" spans="1:11" s="132" customFormat="1">
      <c r="A15" s="161" t="s">
        <v>133</v>
      </c>
      <c r="B15" s="596"/>
      <c r="C15" s="162"/>
      <c r="D15" s="162"/>
      <c r="E15" s="163"/>
      <c r="F15" s="449"/>
      <c r="G15" s="131"/>
      <c r="H15" s="127"/>
      <c r="I15" s="127"/>
      <c r="J15" s="127"/>
      <c r="K15" s="127"/>
    </row>
    <row r="16" spans="1:11" s="132" customFormat="1">
      <c r="A16" s="150" t="s">
        <v>243</v>
      </c>
      <c r="B16" s="593">
        <f>SUM(COUNTIF(A17,"Yes"),COUNTIF(A29:A30,"Yes"),COUNTIF(A34,"Yes"),COUNTIF(A42,"Yes"))</f>
        <v>5</v>
      </c>
      <c r="C16" s="151"/>
      <c r="D16" s="151"/>
      <c r="E16" s="152" t="s">
        <v>244</v>
      </c>
      <c r="F16" s="446">
        <f>SUM(F17:F49)</f>
        <v>5</v>
      </c>
      <c r="G16" s="131"/>
      <c r="H16" s="127"/>
      <c r="I16" s="127"/>
      <c r="J16" s="127"/>
      <c r="K16" s="127"/>
    </row>
    <row r="17" spans="1:11" s="132" customFormat="1">
      <c r="A17" s="164" t="str">
        <f>IF( OR(EXACT(D19,"Yes"),EXACT(D18,"Yes"),(D20&gt;0.299)),"Yes"," ")</f>
        <v>Yes</v>
      </c>
      <c r="B17" s="597" t="s">
        <v>248</v>
      </c>
      <c r="C17" s="165"/>
      <c r="D17" s="166" t="str">
        <f>HYPERLINK("#"&amp;"HPSBII.1_Ref","Energy Efficiency, Achieve Option 1 or 2 and insert design percentage")</f>
        <v>Energy Efficiency, Achieve Option 1 or 2 and insert design percentage</v>
      </c>
      <c r="E17" s="167"/>
      <c r="F17" s="450">
        <v>1</v>
      </c>
      <c r="G17" s="157" t="s">
        <v>246</v>
      </c>
      <c r="H17" s="168"/>
      <c r="I17" s="127"/>
      <c r="J17" s="127"/>
      <c r="K17" s="127"/>
    </row>
    <row r="18" spans="1:11" s="132" customFormat="1" ht="27" customHeight="1">
      <c r="A18" s="169"/>
      <c r="B18" s="597">
        <v>1</v>
      </c>
      <c r="C18" s="170"/>
      <c r="D18" s="171" t="s">
        <v>465</v>
      </c>
      <c r="E18" s="59" t="s">
        <v>249</v>
      </c>
      <c r="F18" s="451"/>
      <c r="G18" s="157" t="s">
        <v>246</v>
      </c>
      <c r="H18" t="s">
        <v>250</v>
      </c>
      <c r="I18" s="172" t="s">
        <v>248</v>
      </c>
      <c r="J18" s="127"/>
      <c r="K18" s="127"/>
    </row>
    <row r="19" spans="1:11" s="132" customFormat="1" ht="39.6">
      <c r="A19" s="169"/>
      <c r="B19" s="597">
        <v>2</v>
      </c>
      <c r="C19" s="170">
        <v>2</v>
      </c>
      <c r="D19" s="171"/>
      <c r="E19" s="59" t="s">
        <v>251</v>
      </c>
      <c r="F19" s="452"/>
      <c r="G19" s="157" t="s">
        <v>246</v>
      </c>
      <c r="H19" t="s">
        <v>250</v>
      </c>
      <c r="I19" s="172" t="s">
        <v>248</v>
      </c>
      <c r="J19" s="127"/>
      <c r="K19" s="127"/>
    </row>
    <row r="20" spans="1:11" s="132" customFormat="1" ht="27" customHeight="1">
      <c r="A20" s="169"/>
      <c r="B20" s="597"/>
      <c r="C20" s="133"/>
      <c r="D20" s="173"/>
      <c r="E20" s="59" t="s">
        <v>252</v>
      </c>
      <c r="F20" s="451"/>
      <c r="G20" s="157" t="s">
        <v>246</v>
      </c>
      <c r="H20" t="s">
        <v>250</v>
      </c>
      <c r="I20" s="172" t="s">
        <v>248</v>
      </c>
      <c r="J20" s="127"/>
      <c r="K20" s="127"/>
    </row>
    <row r="21" spans="1:11" s="132" customFormat="1" ht="26.4">
      <c r="A21" s="169"/>
      <c r="B21" s="597"/>
      <c r="C21" s="133"/>
      <c r="D21" s="174"/>
      <c r="E21" s="59" t="s">
        <v>253</v>
      </c>
      <c r="F21" s="451"/>
      <c r="G21" s="157" t="s">
        <v>246</v>
      </c>
      <c r="H21" t="s">
        <v>250</v>
      </c>
      <c r="I21" s="172" t="s">
        <v>248</v>
      </c>
      <c r="J21" s="127"/>
      <c r="K21" s="127"/>
    </row>
    <row r="22" spans="1:11" s="175" customFormat="1">
      <c r="A22" s="169"/>
      <c r="B22" s="597"/>
      <c r="D22" s="176" t="str">
        <f>CONCATENATE(D23," ",D24," ",D25," ",D26," ",D27)</f>
        <v xml:space="preserve">Cool    </v>
      </c>
      <c r="E22" s="177" t="s">
        <v>254</v>
      </c>
      <c r="F22" s="453"/>
      <c r="G22" s="157" t="s">
        <v>246</v>
      </c>
      <c r="H22" t="s">
        <v>250</v>
      </c>
      <c r="I22" s="172" t="s">
        <v>248</v>
      </c>
      <c r="J22" s="178"/>
      <c r="K22" s="178"/>
    </row>
    <row r="23" spans="1:11" s="175" customFormat="1">
      <c r="A23" s="169"/>
      <c r="B23" s="597"/>
      <c r="D23" s="174" t="s">
        <v>499</v>
      </c>
      <c r="E23" s="179" t="s">
        <v>255</v>
      </c>
      <c r="F23" s="453"/>
      <c r="G23" s="157" t="s">
        <v>246</v>
      </c>
      <c r="H23" t="s">
        <v>250</v>
      </c>
      <c r="I23" s="172" t="s">
        <v>248</v>
      </c>
      <c r="J23" s="178"/>
      <c r="K23" s="178"/>
    </row>
    <row r="24" spans="1:11" s="175" customFormat="1">
      <c r="A24" s="169"/>
      <c r="B24" s="597"/>
      <c r="D24" s="174"/>
      <c r="E24" s="179" t="s">
        <v>256</v>
      </c>
      <c r="F24" s="453"/>
      <c r="G24" s="157" t="s">
        <v>246</v>
      </c>
      <c r="H24" t="s">
        <v>250</v>
      </c>
      <c r="I24" s="172" t="s">
        <v>248</v>
      </c>
      <c r="J24" s="178"/>
      <c r="K24" s="178"/>
    </row>
    <row r="25" spans="1:11" s="175" customFormat="1">
      <c r="A25" s="169"/>
      <c r="B25" s="597"/>
      <c r="D25" s="174"/>
      <c r="E25" s="179" t="s">
        <v>257</v>
      </c>
      <c r="F25" s="453"/>
      <c r="G25" s="157" t="s">
        <v>246</v>
      </c>
      <c r="H25" t="s">
        <v>250</v>
      </c>
      <c r="I25" s="172" t="s">
        <v>248</v>
      </c>
      <c r="J25" s="178"/>
      <c r="K25" s="178"/>
    </row>
    <row r="26" spans="1:11" s="175" customFormat="1">
      <c r="A26" s="169"/>
      <c r="B26" s="597"/>
      <c r="D26" s="174"/>
      <c r="E26" s="179" t="s">
        <v>258</v>
      </c>
      <c r="F26" s="453"/>
      <c r="G26" s="157" t="s">
        <v>246</v>
      </c>
      <c r="H26" t="s">
        <v>250</v>
      </c>
      <c r="I26" s="172" t="s">
        <v>248</v>
      </c>
      <c r="J26" s="178"/>
      <c r="K26" s="178"/>
    </row>
    <row r="27" spans="1:11" s="175" customFormat="1">
      <c r="A27" s="169"/>
      <c r="B27" s="597"/>
      <c r="D27" s="174"/>
      <c r="E27" s="179" t="s">
        <v>259</v>
      </c>
      <c r="F27" s="453"/>
      <c r="G27" s="157" t="s">
        <v>246</v>
      </c>
      <c r="H27" t="s">
        <v>250</v>
      </c>
      <c r="I27" s="172" t="s">
        <v>248</v>
      </c>
      <c r="J27" s="178"/>
      <c r="K27" s="178"/>
    </row>
    <row r="28" spans="1:11" s="175" customFormat="1" ht="27" customHeight="1">
      <c r="A28" s="169"/>
      <c r="B28" s="597"/>
      <c r="D28" s="180" t="s">
        <v>465</v>
      </c>
      <c r="E28" s="181" t="s">
        <v>260</v>
      </c>
      <c r="F28" s="454"/>
      <c r="G28" s="157" t="s">
        <v>246</v>
      </c>
      <c r="H28" t="s">
        <v>250</v>
      </c>
      <c r="I28" s="172" t="s">
        <v>248</v>
      </c>
      <c r="J28" s="178"/>
      <c r="K28" s="178"/>
    </row>
    <row r="29" spans="1:11" s="175" customFormat="1" ht="26.25" customHeight="1">
      <c r="A29" s="153" t="s">
        <v>465</v>
      </c>
      <c r="B29" s="597" t="s">
        <v>261</v>
      </c>
      <c r="C29" s="182"/>
      <c r="D29" s="795" t="str">
        <f>HYPERLINK("#"&amp;"HPSBII.2_Ref","Preferential use of ENERGY STAR or FEMP-designated equipment, when lifecycle cost effective")</f>
        <v>Preferential use of ENERGY STAR or FEMP-designated equipment, when lifecycle cost effective</v>
      </c>
      <c r="E29" s="797"/>
      <c r="F29" s="450">
        <v>1</v>
      </c>
      <c r="G29" s="157" t="s">
        <v>246</v>
      </c>
      <c r="H29" s="183"/>
      <c r="I29" s="178"/>
      <c r="J29" s="178"/>
      <c r="K29" s="178"/>
    </row>
    <row r="30" spans="1:11" s="175" customFormat="1">
      <c r="A30" s="184" t="str">
        <f>IF( OR(EXACT(D31,"Yes"),EXACT(D32,"Yes")),"Yes"," ")</f>
        <v>Yes</v>
      </c>
      <c r="B30" s="597" t="s">
        <v>262</v>
      </c>
      <c r="C30" s="182"/>
      <c r="D30" s="166" t="str">
        <f>HYPERLINK("#"&amp;"HPSBII.3_Ref","On-site Renewable Energy - Solar Hot Water Heater System")</f>
        <v>On-site Renewable Energy - Solar Hot Water Heater System</v>
      </c>
      <c r="F30" s="450">
        <v>1</v>
      </c>
      <c r="G30" s="157" t="s">
        <v>246</v>
      </c>
      <c r="H30" s="183"/>
      <c r="I30" s="178"/>
      <c r="J30" s="178"/>
      <c r="K30" s="178"/>
    </row>
    <row r="31" spans="1:11" s="175" customFormat="1" ht="27" customHeight="1">
      <c r="A31" s="169"/>
      <c r="B31" s="597"/>
      <c r="D31" s="171"/>
      <c r="E31" s="185" t="s">
        <v>263</v>
      </c>
      <c r="F31" s="453"/>
      <c r="G31" s="157" t="s">
        <v>246</v>
      </c>
      <c r="H31" s="183" t="s">
        <v>264</v>
      </c>
      <c r="I31" s="172" t="s">
        <v>262</v>
      </c>
      <c r="J31" s="178"/>
      <c r="K31" s="178"/>
    </row>
    <row r="32" spans="1:11" s="175" customFormat="1" ht="27" customHeight="1">
      <c r="A32" s="169"/>
      <c r="B32" s="597"/>
      <c r="D32" s="171" t="s">
        <v>465</v>
      </c>
      <c r="E32" s="185" t="s">
        <v>265</v>
      </c>
      <c r="F32" s="453"/>
      <c r="G32" s="157" t="s">
        <v>246</v>
      </c>
      <c r="H32" s="183" t="s">
        <v>264</v>
      </c>
      <c r="I32" s="172" t="s">
        <v>262</v>
      </c>
      <c r="J32" s="178"/>
      <c r="K32" s="178"/>
    </row>
    <row r="33" spans="1:11" s="175" customFormat="1">
      <c r="A33" s="169"/>
      <c r="B33" s="597"/>
      <c r="D33" s="173"/>
      <c r="E33" s="186" t="s">
        <v>266</v>
      </c>
      <c r="F33" s="453"/>
      <c r="G33" s="157" t="s">
        <v>246</v>
      </c>
      <c r="H33" s="183" t="s">
        <v>264</v>
      </c>
      <c r="I33" s="172" t="s">
        <v>262</v>
      </c>
      <c r="J33" s="178"/>
      <c r="K33" s="178"/>
    </row>
    <row r="34" spans="1:11" s="175" customFormat="1">
      <c r="A34" s="184" t="str">
        <f>IF( OR(EXACT(D35,"Yes"),EXACT(D36,"Yes")),"Yes"," ")</f>
        <v>Yes</v>
      </c>
      <c r="B34" s="597" t="s">
        <v>267</v>
      </c>
      <c r="C34" s="182"/>
      <c r="D34" s="166" t="str">
        <f>HYPERLINK("#"&amp;"HPSBII.4_Ref","On-site Renewable Energy")</f>
        <v>On-site Renewable Energy</v>
      </c>
      <c r="F34" s="450">
        <v>1</v>
      </c>
      <c r="G34" s="157" t="s">
        <v>246</v>
      </c>
      <c r="H34" s="183"/>
      <c r="I34" s="178"/>
      <c r="J34" s="178"/>
      <c r="K34" s="178"/>
    </row>
    <row r="35" spans="1:11" s="175" customFormat="1" ht="27" customHeight="1">
      <c r="A35" s="169"/>
      <c r="B35" s="597"/>
      <c r="D35" s="171"/>
      <c r="E35" s="75" t="s">
        <v>268</v>
      </c>
      <c r="F35" s="453"/>
      <c r="G35" s="157" t="s">
        <v>246</v>
      </c>
      <c r="H35" s="183" t="s">
        <v>269</v>
      </c>
      <c r="I35" s="172" t="s">
        <v>267</v>
      </c>
      <c r="J35" s="178"/>
      <c r="K35" s="178"/>
    </row>
    <row r="36" spans="1:11" s="175" customFormat="1" ht="27" customHeight="1">
      <c r="A36" s="169"/>
      <c r="B36" s="597"/>
      <c r="D36" s="171" t="s">
        <v>465</v>
      </c>
      <c r="E36" s="185" t="s">
        <v>270</v>
      </c>
      <c r="F36" s="453"/>
      <c r="G36" s="157" t="s">
        <v>246</v>
      </c>
      <c r="H36" s="183" t="s">
        <v>269</v>
      </c>
      <c r="I36" s="172" t="s">
        <v>267</v>
      </c>
      <c r="J36" s="178"/>
      <c r="K36" s="178"/>
    </row>
    <row r="37" spans="1:11" s="175" customFormat="1">
      <c r="A37" s="169"/>
      <c r="B37" s="597"/>
      <c r="D37" s="187" t="str">
        <f>CONCATENATE(D38," ",D39)</f>
        <v xml:space="preserve"> </v>
      </c>
      <c r="E37" s="188" t="s">
        <v>271</v>
      </c>
      <c r="F37" s="453"/>
      <c r="G37" s="157" t="s">
        <v>246</v>
      </c>
      <c r="H37" s="183" t="s">
        <v>269</v>
      </c>
      <c r="I37" s="172" t="s">
        <v>267</v>
      </c>
      <c r="J37" s="178"/>
      <c r="K37" s="178"/>
    </row>
    <row r="38" spans="1:11" s="175" customFormat="1">
      <c r="A38" s="169"/>
      <c r="B38" s="597"/>
      <c r="D38" s="189"/>
      <c r="E38" s="190" t="s">
        <v>272</v>
      </c>
      <c r="F38" s="453"/>
      <c r="G38" s="157"/>
      <c r="H38" s="183"/>
      <c r="I38" s="172"/>
      <c r="J38" s="178"/>
      <c r="K38" s="178"/>
    </row>
    <row r="39" spans="1:11" s="175" customFormat="1">
      <c r="A39" s="169"/>
      <c r="B39" s="597"/>
      <c r="D39" s="189"/>
      <c r="E39" s="190" t="s">
        <v>273</v>
      </c>
      <c r="F39" s="453"/>
      <c r="G39" s="157"/>
      <c r="H39" s="183"/>
      <c r="I39" s="172"/>
      <c r="J39" s="178"/>
      <c r="K39" s="178"/>
    </row>
    <row r="40" spans="1:11" s="175" customFormat="1">
      <c r="A40" s="169"/>
      <c r="B40" s="597"/>
      <c r="D40" s="189"/>
      <c r="E40" s="186" t="s">
        <v>274</v>
      </c>
      <c r="F40" s="453"/>
      <c r="G40" s="157" t="s">
        <v>246</v>
      </c>
      <c r="H40" s="183" t="s">
        <v>269</v>
      </c>
      <c r="I40" s="172" t="s">
        <v>267</v>
      </c>
      <c r="J40" s="178"/>
      <c r="K40" s="178"/>
    </row>
    <row r="41" spans="1:11" s="175" customFormat="1">
      <c r="A41" s="169"/>
      <c r="B41" s="597"/>
      <c r="D41" s="173"/>
      <c r="E41" s="188" t="s">
        <v>275</v>
      </c>
      <c r="F41" s="453"/>
      <c r="G41" s="157" t="s">
        <v>246</v>
      </c>
      <c r="H41" s="183" t="s">
        <v>269</v>
      </c>
      <c r="I41" s="172" t="s">
        <v>267</v>
      </c>
      <c r="J41" s="178"/>
      <c r="K41" s="178"/>
    </row>
    <row r="42" spans="1:11" s="175" customFormat="1">
      <c r="A42" s="184" t="str">
        <f>IF((COUNTIF(D43:D45,"Yes"))+(COUNTIF(D43:D45,"N/A"))&gt;2,"Yes","")</f>
        <v>Yes</v>
      </c>
      <c r="B42" s="597" t="s">
        <v>276</v>
      </c>
      <c r="C42" s="182"/>
      <c r="D42" s="166" t="str">
        <f>HYPERLINK("#"&amp;"HPSBII.5_Ref","Measurement and Verification - Advanced Metering")</f>
        <v>Measurement and Verification - Advanced Metering</v>
      </c>
      <c r="F42" s="450">
        <v>1</v>
      </c>
      <c r="G42" s="157" t="s">
        <v>246</v>
      </c>
      <c r="H42" s="183"/>
      <c r="I42" s="178"/>
      <c r="J42" s="178"/>
      <c r="K42" s="178"/>
    </row>
    <row r="43" spans="1:11" s="175" customFormat="1">
      <c r="A43" s="169"/>
      <c r="B43" s="597"/>
      <c r="D43" s="191" t="s">
        <v>465</v>
      </c>
      <c r="E43" s="188" t="s">
        <v>277</v>
      </c>
      <c r="F43" s="453"/>
      <c r="G43" s="157" t="s">
        <v>246</v>
      </c>
      <c r="H43" s="183" t="s">
        <v>278</v>
      </c>
      <c r="I43" s="172" t="s">
        <v>276</v>
      </c>
      <c r="J43" s="178"/>
      <c r="K43" s="178"/>
    </row>
    <row r="44" spans="1:11" s="175" customFormat="1">
      <c r="A44" s="169"/>
      <c r="B44" s="597"/>
      <c r="D44" s="191" t="s">
        <v>465</v>
      </c>
      <c r="E44" s="188" t="s">
        <v>279</v>
      </c>
      <c r="F44" s="453"/>
      <c r="G44" s="157" t="s">
        <v>246</v>
      </c>
      <c r="H44" s="183" t="s">
        <v>278</v>
      </c>
      <c r="I44" s="172" t="s">
        <v>276</v>
      </c>
      <c r="J44" s="178"/>
      <c r="K44" s="178"/>
    </row>
    <row r="45" spans="1:11" s="175" customFormat="1">
      <c r="A45" s="169"/>
      <c r="B45" s="597"/>
      <c r="D45" s="191" t="s">
        <v>465</v>
      </c>
      <c r="E45" s="188" t="s">
        <v>280</v>
      </c>
      <c r="F45" s="453"/>
      <c r="G45" s="157" t="s">
        <v>246</v>
      </c>
      <c r="H45" s="183" t="s">
        <v>278</v>
      </c>
      <c r="I45" s="172" t="s">
        <v>276</v>
      </c>
      <c r="J45" s="178"/>
      <c r="K45" s="178"/>
    </row>
    <row r="46" spans="1:11" s="175" customFormat="1">
      <c r="A46" s="169"/>
      <c r="B46" s="597"/>
      <c r="D46" s="191" t="s">
        <v>87</v>
      </c>
      <c r="E46" s="188" t="s">
        <v>281</v>
      </c>
      <c r="F46" s="453"/>
      <c r="G46" s="157" t="s">
        <v>246</v>
      </c>
      <c r="H46" s="183" t="s">
        <v>278</v>
      </c>
      <c r="I46" s="172" t="s">
        <v>276</v>
      </c>
      <c r="J46" s="178"/>
      <c r="K46" s="178"/>
    </row>
    <row r="47" spans="1:11" s="132" customFormat="1" ht="27" customHeight="1">
      <c r="A47" s="192" t="s">
        <v>500</v>
      </c>
      <c r="B47" s="597" t="s">
        <v>282</v>
      </c>
      <c r="C47" s="193"/>
      <c r="D47" s="800" t="str">
        <f>HYPERLINK("#"&amp;"HPSBII.6_Ref","Project Case Study Entered in High Performance Federal Buildings Database (Recommended)")</f>
        <v>Project Case Study Entered in High Performance Federal Buildings Database (Recommended)</v>
      </c>
      <c r="E47" s="801"/>
      <c r="F47" s="453"/>
      <c r="G47" s="157" t="s">
        <v>246</v>
      </c>
      <c r="H47" s="127"/>
      <c r="I47" s="127"/>
      <c r="J47" s="127"/>
      <c r="K47" s="127"/>
    </row>
    <row r="48" spans="1:11" s="175" customFormat="1">
      <c r="A48" s="192" t="s">
        <v>465</v>
      </c>
      <c r="B48" s="597" t="s">
        <v>283</v>
      </c>
      <c r="C48" s="182"/>
      <c r="D48" s="194" t="str">
        <f>HYPERLINK("#"&amp;"EISA2007II.7_Ref","Reduction in fossil fuel-generated energy consumption (Recommended)")</f>
        <v>Reduction in fossil fuel-generated energy consumption (Recommended)</v>
      </c>
      <c r="F48" s="453"/>
      <c r="G48" s="157" t="s">
        <v>246</v>
      </c>
      <c r="H48" s="183"/>
      <c r="I48" s="178"/>
      <c r="J48" s="178"/>
      <c r="K48" s="178"/>
    </row>
    <row r="49" spans="1:11" s="175" customFormat="1">
      <c r="A49" s="195" t="s">
        <v>500</v>
      </c>
      <c r="B49" s="597" t="s">
        <v>284</v>
      </c>
      <c r="C49" s="182"/>
      <c r="D49" s="194" t="str">
        <f>HYPERLINK("#"&amp;"EISA2007II.8_Ref","Data Center Energy Consumption (Recommended)")</f>
        <v>Data Center Energy Consumption (Recommended)</v>
      </c>
      <c r="F49" s="453"/>
      <c r="G49" s="157" t="s">
        <v>246</v>
      </c>
      <c r="H49" s="183"/>
      <c r="I49" s="178"/>
      <c r="J49" s="178"/>
      <c r="K49" s="178"/>
    </row>
    <row r="50" spans="1:11" s="132" customFormat="1">
      <c r="A50" s="161" t="s">
        <v>285</v>
      </c>
      <c r="B50" s="596"/>
      <c r="C50" s="162"/>
      <c r="D50" s="162"/>
      <c r="E50" s="163"/>
      <c r="F50" s="449"/>
      <c r="G50" s="131"/>
      <c r="H50" s="196"/>
      <c r="I50" s="127"/>
      <c r="J50" s="127"/>
      <c r="K50" s="127"/>
    </row>
    <row r="51" spans="1:11" s="132" customFormat="1">
      <c r="A51" s="150" t="s">
        <v>243</v>
      </c>
      <c r="B51" s="593">
        <f>SUM(COUNTIF(A52,"Yes"),COUNTIF(A54:A58,"Yes"),COUNTIF(A61:A62,"Yes"))</f>
        <v>6</v>
      </c>
      <c r="C51" s="151"/>
      <c r="D51" s="151"/>
      <c r="E51" s="152" t="s">
        <v>244</v>
      </c>
      <c r="F51" s="446">
        <f>SUM(F52:F62)</f>
        <v>7</v>
      </c>
      <c r="G51" s="131"/>
      <c r="H51" s="196"/>
      <c r="I51" s="127"/>
      <c r="J51" s="127"/>
      <c r="K51" s="127"/>
    </row>
    <row r="52" spans="1:11" s="132" customFormat="1">
      <c r="A52" s="197" t="str">
        <f>IF(D53&gt;0.199,"Yes"," ")</f>
        <v xml:space="preserve"> </v>
      </c>
      <c r="B52" s="597" t="s">
        <v>286</v>
      </c>
      <c r="C52" s="198"/>
      <c r="D52" s="199" t="str">
        <f>HYPERLINK("#"&amp;"HPSBIII.1_Ref","Indoor Water - 20% Reduction")</f>
        <v>Indoor Water - 20% Reduction</v>
      </c>
      <c r="E52" s="167"/>
      <c r="F52" s="450">
        <v>1</v>
      </c>
      <c r="G52" s="157" t="s">
        <v>246</v>
      </c>
      <c r="H52" s="196"/>
      <c r="I52" s="127"/>
      <c r="J52" s="127"/>
      <c r="K52" s="127"/>
    </row>
    <row r="53" spans="1:11" s="132" customFormat="1">
      <c r="A53" s="169"/>
      <c r="B53" s="597"/>
      <c r="C53" s="198"/>
      <c r="D53" s="173"/>
      <c r="E53" s="186" t="s">
        <v>266</v>
      </c>
      <c r="F53" s="450"/>
      <c r="G53" s="157" t="s">
        <v>246</v>
      </c>
      <c r="H53" s="196" t="s">
        <v>287</v>
      </c>
      <c r="I53" s="172" t="s">
        <v>286</v>
      </c>
      <c r="J53" s="127"/>
      <c r="K53" s="127"/>
    </row>
    <row r="54" spans="1:11" s="132" customFormat="1">
      <c r="A54" s="153" t="s">
        <v>465</v>
      </c>
      <c r="B54" s="597" t="s">
        <v>288</v>
      </c>
      <c r="C54" s="198"/>
      <c r="D54" s="199" t="str">
        <f>HYPERLINK("#"&amp;"HPSBIII.2_Ref","Outdoor Water - Reduce Potable Water Use by 50%")</f>
        <v>Outdoor Water - Reduce Potable Water Use by 50%</v>
      </c>
      <c r="E54" s="167"/>
      <c r="F54" s="450">
        <v>1</v>
      </c>
      <c r="G54" s="157" t="s">
        <v>246</v>
      </c>
      <c r="H54" s="196"/>
      <c r="I54" s="127"/>
      <c r="J54" s="127"/>
      <c r="K54" s="127"/>
    </row>
    <row r="55" spans="1:11" s="132" customFormat="1">
      <c r="A55" s="153" t="s">
        <v>465</v>
      </c>
      <c r="B55" s="597" t="s">
        <v>289</v>
      </c>
      <c r="C55" s="198"/>
      <c r="D55" s="166" t="str">
        <f>HYPERLINK("#"&amp;"HPSBIII.3_Ref","Outdoor Water - Stormwater runoff")</f>
        <v>Outdoor Water - Stormwater runoff</v>
      </c>
      <c r="E55" s="167"/>
      <c r="F55" s="450">
        <v>1</v>
      </c>
      <c r="G55" s="157" t="s">
        <v>246</v>
      </c>
      <c r="H55" s="196"/>
      <c r="I55" s="127"/>
      <c r="J55" s="127"/>
      <c r="K55" s="127"/>
    </row>
    <row r="56" spans="1:11" s="175" customFormat="1" ht="27" customHeight="1">
      <c r="A56" s="153" t="s">
        <v>465</v>
      </c>
      <c r="B56" s="597" t="s">
        <v>290</v>
      </c>
      <c r="C56" s="182"/>
      <c r="D56" s="795" t="str">
        <f>HYPERLINK("#"&amp;"HPSBIII.4_Ref","Outdoor Water - Achieve Pre-Development Hydrology when technically feasible, when disturbance &gt; 5,000 GSF")</f>
        <v>Outdoor Water - Achieve Pre-Development Hydrology when technically feasible, when disturbance &gt; 5,000 GSF</v>
      </c>
      <c r="E56" s="796"/>
      <c r="F56" s="450">
        <v>1</v>
      </c>
      <c r="G56" s="157" t="s">
        <v>246</v>
      </c>
      <c r="H56" s="183"/>
      <c r="I56" s="178"/>
      <c r="J56" s="178"/>
      <c r="K56" s="178"/>
    </row>
    <row r="57" spans="1:11" s="175" customFormat="1" ht="12.75" customHeight="1">
      <c r="A57" s="169"/>
      <c r="B57" s="597"/>
      <c r="C57" s="198"/>
      <c r="D57" s="200"/>
      <c r="E57" s="185" t="s">
        <v>291</v>
      </c>
      <c r="F57" s="450"/>
      <c r="G57" s="157" t="s">
        <v>246</v>
      </c>
      <c r="H57" s="183" t="s">
        <v>292</v>
      </c>
      <c r="I57" s="178" t="s">
        <v>290</v>
      </c>
      <c r="J57" s="178"/>
      <c r="K57" s="178"/>
    </row>
    <row r="58" spans="1:11" s="175" customFormat="1">
      <c r="A58" s="184" t="str">
        <f>IF( OR(EXACT(D59,"Yes"),EXACT(D60,"Yes")),"Yes"," ")</f>
        <v>Yes</v>
      </c>
      <c r="B58" s="597" t="s">
        <v>293</v>
      </c>
      <c r="C58" s="182"/>
      <c r="D58" s="201" t="str">
        <f>HYPERLINK("#"&amp;"HPSBIII.5_Ref","Process water potable water use")</f>
        <v>Process water potable water use</v>
      </c>
      <c r="E58" s="137"/>
      <c r="F58" s="450">
        <v>1</v>
      </c>
      <c r="G58" s="157" t="s">
        <v>246</v>
      </c>
      <c r="H58" s="183"/>
      <c r="I58" s="178"/>
      <c r="J58" s="178"/>
      <c r="K58" s="178"/>
    </row>
    <row r="59" spans="1:11" s="175" customFormat="1" ht="27" customHeight="1">
      <c r="A59" s="169"/>
      <c r="B59" s="597"/>
      <c r="C59" s="137"/>
      <c r="D59" s="171" t="s">
        <v>465</v>
      </c>
      <c r="E59" s="185" t="s">
        <v>294</v>
      </c>
      <c r="F59" s="453"/>
      <c r="G59" s="157" t="s">
        <v>246</v>
      </c>
      <c r="H59" s="183" t="s">
        <v>295</v>
      </c>
      <c r="I59" s="172" t="s">
        <v>293</v>
      </c>
      <c r="J59" s="178"/>
      <c r="K59" s="178"/>
    </row>
    <row r="60" spans="1:11" s="175" customFormat="1" ht="27" customHeight="1">
      <c r="A60" s="169"/>
      <c r="B60" s="597"/>
      <c r="C60" s="137"/>
      <c r="D60" s="171"/>
      <c r="E60" s="185" t="s">
        <v>296</v>
      </c>
      <c r="F60" s="453"/>
      <c r="G60" s="157" t="s">
        <v>246</v>
      </c>
      <c r="H60" s="183" t="s">
        <v>295</v>
      </c>
      <c r="I60" s="172" t="s">
        <v>293</v>
      </c>
      <c r="J60" s="178"/>
      <c r="K60" s="178"/>
    </row>
    <row r="61" spans="1:11" s="175" customFormat="1">
      <c r="A61" s="153" t="s">
        <v>465</v>
      </c>
      <c r="B61" s="597" t="s">
        <v>297</v>
      </c>
      <c r="C61" s="182"/>
      <c r="D61" s="795" t="str">
        <f>HYPERLINK("#"&amp;"HPSBIII.6_Ref","Water-Efficient Products")</f>
        <v>Water-Efficient Products</v>
      </c>
      <c r="E61" s="796"/>
      <c r="F61" s="450">
        <v>1</v>
      </c>
      <c r="G61" s="157" t="s">
        <v>246</v>
      </c>
      <c r="H61" s="178"/>
      <c r="I61" s="178"/>
      <c r="J61" s="178"/>
      <c r="K61" s="178"/>
    </row>
    <row r="62" spans="1:11" s="175" customFormat="1">
      <c r="A62" s="153" t="s">
        <v>465</v>
      </c>
      <c r="B62" s="595" t="s">
        <v>298</v>
      </c>
      <c r="C62" s="202"/>
      <c r="D62" s="159" t="str">
        <f>HYPERLINK("#"&amp;"HPSBIII.7_Ref","Water Efficient Products - Irrigation Contractors")</f>
        <v>Water Efficient Products - Irrigation Contractors</v>
      </c>
      <c r="E62" s="203"/>
      <c r="F62" s="448">
        <v>1</v>
      </c>
      <c r="G62" s="157" t="s">
        <v>246</v>
      </c>
      <c r="H62" s="178"/>
      <c r="I62" s="178"/>
      <c r="J62" s="178"/>
      <c r="K62" s="178"/>
    </row>
    <row r="63" spans="1:11" s="132" customFormat="1">
      <c r="A63" s="161" t="s">
        <v>299</v>
      </c>
      <c r="B63" s="596"/>
      <c r="C63" s="162"/>
      <c r="D63" s="162"/>
      <c r="E63" s="163"/>
      <c r="F63" s="449"/>
      <c r="G63" s="131"/>
      <c r="H63" s="127"/>
      <c r="I63" s="127"/>
      <c r="J63" s="127"/>
      <c r="K63" s="127"/>
    </row>
    <row r="64" spans="1:11" s="132" customFormat="1">
      <c r="A64" s="150" t="s">
        <v>243</v>
      </c>
      <c r="B64" s="593">
        <f>COUNTIF(A65:A73,"Yes")</f>
        <v>7</v>
      </c>
      <c r="C64" s="151"/>
      <c r="D64" s="151"/>
      <c r="E64" s="152" t="s">
        <v>244</v>
      </c>
      <c r="F64" s="446">
        <f>SUM(F65:F73)</f>
        <v>9</v>
      </c>
      <c r="G64" s="131"/>
      <c r="H64" s="127"/>
      <c r="I64" s="127"/>
      <c r="J64" s="127"/>
      <c r="K64" s="127"/>
    </row>
    <row r="65" spans="1:11" s="132" customFormat="1">
      <c r="A65" s="153" t="s">
        <v>465</v>
      </c>
      <c r="B65" s="594" t="s">
        <v>300</v>
      </c>
      <c r="C65" s="204"/>
      <c r="D65" s="155" t="str">
        <f>HYPERLINK("#"&amp;"HPSBIV.1_Ref","Thermal Comfort, ASHRAE 55-2004")</f>
        <v>Thermal Comfort, ASHRAE 55-2004</v>
      </c>
      <c r="E65" s="205"/>
      <c r="F65" s="447">
        <v>1</v>
      </c>
      <c r="G65" s="157" t="s">
        <v>246</v>
      </c>
      <c r="H65" s="127"/>
      <c r="I65" s="127"/>
      <c r="J65" s="127"/>
      <c r="K65" s="127"/>
    </row>
    <row r="66" spans="1:11" s="132" customFormat="1">
      <c r="A66" s="206" t="s">
        <v>465</v>
      </c>
      <c r="B66" s="597" t="s">
        <v>301</v>
      </c>
      <c r="C66" s="207"/>
      <c r="D66" s="166" t="str">
        <f>HYPERLINK("#"&amp;"HPSBIV.2_Ref","Ventilation: ASHRAE 62.1-2007")</f>
        <v>Ventilation: ASHRAE 62.1-2007</v>
      </c>
      <c r="E66" s="136"/>
      <c r="F66" s="450">
        <v>1</v>
      </c>
      <c r="G66" s="157" t="s">
        <v>246</v>
      </c>
      <c r="H66" s="127"/>
      <c r="I66" s="127"/>
      <c r="J66" s="127"/>
      <c r="K66" s="127"/>
    </row>
    <row r="67" spans="1:11" s="175" customFormat="1">
      <c r="A67" s="153" t="s">
        <v>465</v>
      </c>
      <c r="B67" s="597" t="s">
        <v>302</v>
      </c>
      <c r="C67" s="182"/>
      <c r="D67" s="795" t="str">
        <f>HYPERLINK("#"&amp;"HPSBIV.3_Ref","Moisture Control")</f>
        <v>Moisture Control</v>
      </c>
      <c r="E67" s="797"/>
      <c r="F67" s="450">
        <v>1</v>
      </c>
      <c r="G67" s="157" t="s">
        <v>246</v>
      </c>
      <c r="H67" s="178"/>
      <c r="I67" s="178"/>
      <c r="J67" s="178"/>
      <c r="K67" s="178"/>
    </row>
    <row r="68" spans="1:11" s="132" customFormat="1">
      <c r="A68" s="153" t="s">
        <v>500</v>
      </c>
      <c r="B68" s="597" t="s">
        <v>303</v>
      </c>
      <c r="C68" s="207"/>
      <c r="D68" s="199" t="str">
        <f>HYPERLINK("#"&amp;"HPSBIV.4_Ref","Daylighting - 75% of Spaces")</f>
        <v>Daylighting - 75% of Spaces</v>
      </c>
      <c r="E68" s="136"/>
      <c r="F68" s="450">
        <v>1</v>
      </c>
      <c r="G68" s="157" t="s">
        <v>246</v>
      </c>
      <c r="H68" s="127"/>
      <c r="I68" s="127"/>
      <c r="J68" s="127"/>
      <c r="K68" s="127"/>
    </row>
    <row r="69" spans="1:11" s="132" customFormat="1">
      <c r="A69" s="153" t="s">
        <v>501</v>
      </c>
      <c r="B69" s="597" t="s">
        <v>304</v>
      </c>
      <c r="C69" s="207"/>
      <c r="D69" s="166" t="str">
        <f>HYPERLINK("#"&amp;"HPSBIV.5_Ref","Daylighting - Controllability of Systems")</f>
        <v>Daylighting - Controllability of Systems</v>
      </c>
      <c r="E69" s="136"/>
      <c r="F69" s="450">
        <v>1</v>
      </c>
      <c r="G69" s="157" t="s">
        <v>246</v>
      </c>
      <c r="H69" s="127"/>
      <c r="I69" s="127"/>
      <c r="J69" s="127"/>
      <c r="K69" s="127"/>
    </row>
    <row r="70" spans="1:11" s="175" customFormat="1">
      <c r="A70" s="153" t="s">
        <v>465</v>
      </c>
      <c r="B70" s="597" t="s">
        <v>305</v>
      </c>
      <c r="C70" s="182"/>
      <c r="D70" s="795" t="str">
        <f>HYPERLINK("#"&amp;"HPSBIV.6_Ref","Low Emitting Materials")</f>
        <v>Low Emitting Materials</v>
      </c>
      <c r="E70" s="797"/>
      <c r="F70" s="450">
        <v>1</v>
      </c>
      <c r="G70" s="157" t="s">
        <v>246</v>
      </c>
      <c r="H70" s="178"/>
      <c r="I70" s="178"/>
      <c r="J70" s="178"/>
      <c r="K70" s="178"/>
    </row>
    <row r="71" spans="1:11" s="132" customFormat="1">
      <c r="A71" s="153" t="s">
        <v>465</v>
      </c>
      <c r="B71" s="597" t="s">
        <v>306</v>
      </c>
      <c r="C71" s="207"/>
      <c r="D71" s="199" t="str">
        <f>HYPERLINK("#"&amp;"HPSBIV.7_Ref","Protect Indoor Air Quality during Construction")</f>
        <v>Protect Indoor Air Quality during Construction</v>
      </c>
      <c r="E71" s="136"/>
      <c r="F71" s="450">
        <v>1</v>
      </c>
      <c r="G71" s="157" t="s">
        <v>246</v>
      </c>
      <c r="H71" s="127"/>
      <c r="I71" s="127"/>
      <c r="J71" s="127"/>
      <c r="K71" s="127"/>
    </row>
    <row r="72" spans="1:11" s="132" customFormat="1">
      <c r="A72" s="153" t="s">
        <v>465</v>
      </c>
      <c r="B72" s="597" t="s">
        <v>307</v>
      </c>
      <c r="C72" s="207"/>
      <c r="D72" s="199" t="str">
        <f>HYPERLINK("#"&amp;"HPSBIV.8_Ref","Protect Indoor Air Quality after Construction")</f>
        <v>Protect Indoor Air Quality after Construction</v>
      </c>
      <c r="E72" s="136"/>
      <c r="F72" s="450">
        <v>1</v>
      </c>
      <c r="G72" s="157" t="s">
        <v>246</v>
      </c>
      <c r="H72" s="127"/>
      <c r="I72" s="127"/>
      <c r="J72" s="127"/>
      <c r="K72" s="127"/>
    </row>
    <row r="73" spans="1:11" s="132" customFormat="1">
      <c r="A73" s="153" t="s">
        <v>465</v>
      </c>
      <c r="B73" s="595" t="s">
        <v>308</v>
      </c>
      <c r="C73" s="208"/>
      <c r="D73" s="209" t="str">
        <f>HYPERLINK("#"&amp;"HPSBIV.9_Ref","Environmental Tobacco Smoke (ETS) Control")</f>
        <v>Environmental Tobacco Smoke (ETS) Control</v>
      </c>
      <c r="E73" s="210"/>
      <c r="F73" s="448">
        <v>1</v>
      </c>
      <c r="G73" s="157" t="s">
        <v>246</v>
      </c>
      <c r="H73" s="127"/>
      <c r="I73" s="127"/>
      <c r="J73" s="127"/>
      <c r="K73" s="127"/>
    </row>
    <row r="74" spans="1:11" s="132" customFormat="1">
      <c r="A74" s="161" t="s">
        <v>199</v>
      </c>
      <c r="B74" s="596"/>
      <c r="C74" s="162"/>
      <c r="D74" s="162"/>
      <c r="E74" s="163"/>
      <c r="F74" s="449"/>
      <c r="G74" s="131"/>
      <c r="H74" s="127"/>
      <c r="I74" s="127"/>
      <c r="J74" s="127"/>
      <c r="K74" s="127"/>
    </row>
    <row r="75" spans="1:11" s="132" customFormat="1">
      <c r="A75" s="150" t="s">
        <v>243</v>
      </c>
      <c r="B75" s="593">
        <f>COUNTIF(A76:A81,"Yes")</f>
        <v>5</v>
      </c>
      <c r="C75" s="151"/>
      <c r="D75" s="151"/>
      <c r="E75" s="152" t="s">
        <v>244</v>
      </c>
      <c r="F75" s="446">
        <f>SUM(F76:F81)</f>
        <v>6</v>
      </c>
      <c r="G75" s="131"/>
      <c r="H75" s="127"/>
      <c r="I75" s="127"/>
      <c r="J75" s="127"/>
      <c r="K75" s="127"/>
    </row>
    <row r="76" spans="1:11" s="175" customFormat="1">
      <c r="A76" s="206" t="s">
        <v>465</v>
      </c>
      <c r="B76" s="597" t="s">
        <v>309</v>
      </c>
      <c r="C76" s="182"/>
      <c r="D76" s="166" t="str">
        <f>HYPERLINK("#"&amp;"HPSBV.1_Ref","Recycled Content")</f>
        <v>Recycled Content</v>
      </c>
      <c r="F76" s="450">
        <v>1</v>
      </c>
      <c r="G76" s="157" t="s">
        <v>246</v>
      </c>
      <c r="H76" s="178"/>
      <c r="I76" s="178"/>
      <c r="J76" s="178"/>
      <c r="K76" s="178"/>
    </row>
    <row r="77" spans="1:11" s="175" customFormat="1">
      <c r="A77" s="153" t="s">
        <v>501</v>
      </c>
      <c r="B77" s="597" t="s">
        <v>310</v>
      </c>
      <c r="C77" s="182"/>
      <c r="D77" s="166" t="str">
        <f>HYPERLINK("#"&amp;"HPSBV.2_Ref","Biobased Content")</f>
        <v>Biobased Content</v>
      </c>
      <c r="F77" s="450">
        <v>1</v>
      </c>
      <c r="G77" s="157" t="s">
        <v>246</v>
      </c>
      <c r="H77" s="178"/>
      <c r="I77" s="178"/>
      <c r="J77" s="178"/>
      <c r="K77" s="178"/>
    </row>
    <row r="78" spans="1:11" s="175" customFormat="1">
      <c r="A78" s="153" t="s">
        <v>465</v>
      </c>
      <c r="B78" s="597" t="s">
        <v>311</v>
      </c>
      <c r="C78" s="182"/>
      <c r="D78" s="166" t="str">
        <f>HYPERLINK("#"&amp;"HPSBV.3_Ref","Environmentally Preferable Products")</f>
        <v>Environmentally Preferable Products</v>
      </c>
      <c r="F78" s="450">
        <v>1</v>
      </c>
      <c r="G78" s="157" t="s">
        <v>246</v>
      </c>
      <c r="H78" s="178"/>
      <c r="I78" s="178"/>
      <c r="J78" s="178"/>
      <c r="K78" s="178"/>
    </row>
    <row r="79" spans="1:11" s="132" customFormat="1">
      <c r="A79" s="153" t="s">
        <v>465</v>
      </c>
      <c r="B79" s="597" t="s">
        <v>312</v>
      </c>
      <c r="C79" s="207"/>
      <c r="D79" s="166" t="str">
        <f>HYPERLINK("#"&amp;"HPSBV.4_Ref","Waste and Materials Management - Recycling")</f>
        <v>Waste and Materials Management - Recycling</v>
      </c>
      <c r="E79" s="167"/>
      <c r="F79" s="450">
        <v>1</v>
      </c>
      <c r="G79" s="157" t="s">
        <v>246</v>
      </c>
      <c r="H79" s="127"/>
      <c r="I79" s="127"/>
      <c r="J79" s="127"/>
      <c r="K79" s="127"/>
    </row>
    <row r="80" spans="1:11" s="132" customFormat="1">
      <c r="A80" s="153" t="s">
        <v>465</v>
      </c>
      <c r="B80" s="597" t="s">
        <v>313</v>
      </c>
      <c r="C80" s="207"/>
      <c r="D80" s="166" t="str">
        <f>HYPERLINK("#"&amp;"HPSBV.5_Ref","Waste and Materials Management - Divert 50% from Disposal")</f>
        <v>Waste and Materials Management - Divert 50% from Disposal</v>
      </c>
      <c r="E80" s="167"/>
      <c r="F80" s="450">
        <v>1</v>
      </c>
      <c r="G80" s="157" t="s">
        <v>246</v>
      </c>
      <c r="H80" s="127"/>
      <c r="I80" s="127"/>
      <c r="J80" s="127"/>
      <c r="K80" s="127"/>
    </row>
    <row r="81" spans="1:11" s="132" customFormat="1">
      <c r="A81" s="211" t="s">
        <v>465</v>
      </c>
      <c r="B81" s="597" t="s">
        <v>314</v>
      </c>
      <c r="C81" s="207"/>
      <c r="D81" s="166" t="str">
        <f>HYPERLINK("#"&amp;"HPSBV.6_Ref","Ozone Depleting Compounds")</f>
        <v>Ozone Depleting Compounds</v>
      </c>
      <c r="E81" s="167"/>
      <c r="F81" s="450">
        <v>1</v>
      </c>
      <c r="G81" s="157" t="s">
        <v>246</v>
      </c>
      <c r="H81" s="127"/>
      <c r="I81" s="127"/>
      <c r="J81" s="127"/>
      <c r="K81" s="127"/>
    </row>
    <row r="82" spans="1:11" s="132" customFormat="1">
      <c r="A82" s="212" t="s">
        <v>315</v>
      </c>
      <c r="B82" s="598"/>
      <c r="C82" s="213"/>
      <c r="D82" s="214"/>
      <c r="E82" s="215" t="s">
        <v>244</v>
      </c>
      <c r="F82" s="455">
        <f>SUM(F75,F64,F51,F16,F12)</f>
        <v>29</v>
      </c>
      <c r="G82" s="131"/>
      <c r="H82" s="127"/>
      <c r="I82" s="127"/>
      <c r="J82" s="127"/>
      <c r="K82" s="127"/>
    </row>
    <row r="83" spans="1:11" s="132" customFormat="1">
      <c r="A83" s="583">
        <f>SUM(B75,B64,B51,B16,B12)</f>
        <v>25</v>
      </c>
      <c r="B83" s="599" t="s">
        <v>316</v>
      </c>
      <c r="C83" s="216"/>
      <c r="D83" s="217"/>
      <c r="E83" s="217"/>
      <c r="F83" s="456"/>
      <c r="G83" s="131"/>
      <c r="H83" s="127"/>
      <c r="I83" s="127"/>
      <c r="J83" s="218" t="s">
        <v>317</v>
      </c>
      <c r="K83" s="127"/>
    </row>
    <row r="84" spans="1:11" s="175" customFormat="1">
      <c r="A84" s="584">
        <f>SUM(COUNTIF(A13:A14,"Maybe"),COUNTIF(A17,"Maybe"),COUNTIF(A29:A30,"Maybe"),COUNTIF(A34,"Maybe"),COUNTIF(A42,"Maybe"),COUNTIF(A52,"Maybe"),COUNTIF(A54:A58,"Maybe"),COUNTIF(A61:A62,"Maybe"),COUNTIF(A65:A73,"Maybe"),COUNTIF(A76:A81,"Maybe"))</f>
        <v>2</v>
      </c>
      <c r="B84" s="600" t="s">
        <v>318</v>
      </c>
      <c r="D84" s="219"/>
      <c r="E84" s="219"/>
      <c r="F84" s="457"/>
      <c r="G84" s="220"/>
      <c r="H84" s="178"/>
      <c r="I84" s="178"/>
      <c r="J84" s="218" t="s">
        <v>317</v>
      </c>
      <c r="K84" s="178"/>
    </row>
    <row r="85" spans="1:11" s="175" customFormat="1" ht="13.8" thickBot="1">
      <c r="A85" s="585">
        <f>SUM(COUNTIF(A13:A14,"No"),COUNTIF(A17,"No"),COUNTIF(A29:A30,"No"),COUNTIF(A34,"No"),COUNTIF(A42,"No"),COUNTIF(A52,"No"),COUNTIF(A54:A58,"No"),COUNTIF(A61:A62,"No"),COUNTIF(A65:A73,"No"),COUNTIF(A76:A81,"No"))</f>
        <v>1</v>
      </c>
      <c r="B85" s="600" t="s">
        <v>319</v>
      </c>
      <c r="D85" s="219"/>
      <c r="E85" s="219"/>
      <c r="F85" s="457"/>
      <c r="G85" s="220"/>
      <c r="H85" s="178"/>
      <c r="I85" s="178"/>
      <c r="J85" s="218" t="s">
        <v>317</v>
      </c>
      <c r="K85" s="178"/>
    </row>
    <row r="86" spans="1:11" s="132" customFormat="1" ht="18" thickBot="1">
      <c r="A86" s="249">
        <f>(A83/F82)</f>
        <v>0.86206896551724133</v>
      </c>
      <c r="B86" s="601" t="s">
        <v>472</v>
      </c>
      <c r="C86" s="250"/>
      <c r="D86" s="251"/>
      <c r="E86" s="251"/>
      <c r="F86" s="252"/>
      <c r="G86" s="221"/>
      <c r="H86" s="222"/>
      <c r="I86" s="222"/>
      <c r="J86" s="222" t="s">
        <v>317</v>
      </c>
      <c r="K86" s="222"/>
    </row>
    <row r="87" spans="1:11">
      <c r="G87" s="224"/>
      <c r="H87" s="135"/>
      <c r="I87" s="135"/>
      <c r="J87" s="135"/>
      <c r="K87" s="135"/>
    </row>
  </sheetData>
  <sheetProtection sheet="1" objects="1" scenarios="1"/>
  <mergeCells count="8">
    <mergeCell ref="A5:C5"/>
    <mergeCell ref="D61:E61"/>
    <mergeCell ref="D67:E67"/>
    <mergeCell ref="D70:E70"/>
    <mergeCell ref="A6:B6"/>
    <mergeCell ref="D29:E29"/>
    <mergeCell ref="D47:E47"/>
    <mergeCell ref="D56:E56"/>
  </mergeCells>
  <conditionalFormatting sqref="D5 A54:A56 A76:A81 D18:D19 A65:A73 A52 A61:A62 D59:D60 A29 D31:D32 D35:D36 A13:A14">
    <cfRule type="cellIs" dxfId="21" priority="32" stopIfTrue="1" operator="equal">
      <formula>"Yes"</formula>
    </cfRule>
    <cfRule type="cellIs" dxfId="20" priority="33" stopIfTrue="1" operator="equal">
      <formula>"No"</formula>
    </cfRule>
    <cfRule type="cellIs" dxfId="19" priority="34" stopIfTrue="1" operator="equal">
      <formula>"Maybe"</formula>
    </cfRule>
  </conditionalFormatting>
  <conditionalFormatting sqref="A58 A42 A34 A30 A17">
    <cfRule type="cellIs" dxfId="18" priority="31" stopIfTrue="1" operator="equal">
      <formula>"Yes"</formula>
    </cfRule>
  </conditionalFormatting>
  <conditionalFormatting sqref="D43:D46">
    <cfRule type="cellIs" dxfId="17" priority="28" stopIfTrue="1" operator="equal">
      <formula>"Yes"</formula>
    </cfRule>
    <cfRule type="cellIs" dxfId="16" priority="29" stopIfTrue="1" operator="equal">
      <formula>"No"</formula>
    </cfRule>
    <cfRule type="cellIs" dxfId="15" priority="30" stopIfTrue="1" operator="equal">
      <formula>"N/A"</formula>
    </cfRule>
  </conditionalFormatting>
  <conditionalFormatting sqref="A7">
    <cfRule type="expression" dxfId="14" priority="2" stopIfTrue="1">
      <formula>"IF(iserror(D8))"</formula>
    </cfRule>
  </conditionalFormatting>
  <conditionalFormatting sqref="B7">
    <cfRule type="expression" dxfId="13" priority="1" stopIfTrue="1">
      <formula>"IF(iserror(D8))"</formula>
    </cfRule>
  </conditionalFormatting>
  <dataValidations count="14">
    <dataValidation type="list" allowBlank="1" showInputMessage="1" errorTitle="Numbers only" error="Insert percentage as a decimal" sqref="D26">
      <formula1>"Solar thermal"</formula1>
    </dataValidation>
    <dataValidation type="list" allowBlank="1" showInputMessage="1" errorTitle="Numbers only" error="Insert percentage as a decimal" sqref="D25">
      <formula1>"Solar electric"</formula1>
    </dataValidation>
    <dataValidation type="list" allowBlank="1" showInputMessage="1" errorTitle="Numbers only" error="Insert percentage as a decimal" sqref="D27">
      <formula1>"Solar passive"</formula1>
    </dataValidation>
    <dataValidation type="list" allowBlank="1" showInputMessage="1" errorTitle="Numbers only" error="Insert percentage as a decimal" sqref="D23">
      <formula1>"Cool"</formula1>
    </dataValidation>
    <dataValidation type="list" allowBlank="1" showInputMessage="1" errorTitle="Numbers only" error="Insert percentage as a decimal" sqref="D24">
      <formula1>"Green"</formula1>
    </dataValidation>
    <dataValidation allowBlank="1" showInputMessage="1" showErrorMessage="1" errorTitle="Numbers only" error="Insert percentage as a decimal" sqref="D21 E5 D57"/>
    <dataValidation allowBlank="1" showInputMessage="1" errorTitle="Numbers only" error="Insert percentage as a decimal" sqref="D37 D22"/>
    <dataValidation type="list" allowBlank="1" showInputMessage="1" showErrorMessage="1" errorTitle="Numbers only" error="Insert numerical value only" sqref="D38:D39">
      <formula1>"Geothermal,GSHP,Solar PV,Solar CP,Solar Thermal,Wind,Hydro,Daylighting,Waste to Energy"</formula1>
    </dataValidation>
    <dataValidation type="list" allowBlank="1" showInputMessage="1" showErrorMessage="1" sqref="D43:D46">
      <formula1>"Yes,No,N/A"</formula1>
    </dataValidation>
    <dataValidation type="decimal" allowBlank="1" showInputMessage="1" showErrorMessage="1" errorTitle="Numbers only" error="Insert numerical value only" sqref="D40">
      <formula1>0</formula1>
      <formula2>100000</formula2>
    </dataValidation>
    <dataValidation type="decimal" allowBlank="1" showInputMessage="1" showErrorMessage="1" errorTitle="Numbers only" error="Insert percentage as a decimal" sqref="D53 D41 D20 D33">
      <formula1>0</formula1>
      <formula2>1</formula2>
    </dataValidation>
    <dataValidation type="list" allowBlank="1" showInputMessage="1" showErrorMessage="1" sqref="A54:A56 D28 D31:D32 D35:D36 A76:A81 A65:A73 D59:D60 A47:A49 A61:A62 D18:D19 A29 A13:A14">
      <formula1>"Yes,Maybe,No"</formula1>
    </dataValidation>
    <dataValidation type="list" allowBlank="1" showInputMessage="1" showErrorMessage="1" sqref="D1">
      <formula1>"Vertical With Climate Control,Minor Construction,Major Renovation and Addition,Horizontal,Utilities,Industrial"</formula1>
    </dataValidation>
    <dataValidation type="list" allowBlank="1" showInputMessage="1" showErrorMessage="1" sqref="D2">
      <formula1>Installation</formula1>
    </dataValidation>
  </dataValidations>
  <pageMargins left="0.36" right="0.36" top="0.46" bottom="0.44" header="0.36" footer="0.32"/>
  <pageSetup fitToHeight="6" orientation="landscape" r:id="rId1"/>
  <headerFooter alignWithMargins="0">
    <oddFooter>&amp;L&amp;D&amp;C&amp;P</oddFooter>
  </headerFooter>
</worksheet>
</file>

<file path=xl/worksheets/sheet5.xml><?xml version="1.0" encoding="utf-8"?>
<worksheet xmlns="http://schemas.openxmlformats.org/spreadsheetml/2006/main" xmlns:r="http://schemas.openxmlformats.org/officeDocument/2006/relationships">
  <sheetPr codeName="Sheet4"/>
  <dimension ref="A1:LQ160"/>
  <sheetViews>
    <sheetView topLeftCell="A129" zoomScale="115" zoomScaleNormal="115" workbookViewId="0">
      <selection activeCell="A126" sqref="A126"/>
    </sheetView>
  </sheetViews>
  <sheetFormatPr defaultColWidth="9.109375" defaultRowHeight="13.2"/>
  <cols>
    <col min="1" max="1" width="18.5546875" style="523" customWidth="1"/>
    <col min="2" max="2" width="11" style="256" customWidth="1"/>
    <col min="3" max="3" width="1.5546875" style="256" customWidth="1"/>
    <col min="4" max="4" width="28.88671875" style="489" customWidth="1"/>
    <col min="5" max="5" width="56.109375" style="257" customWidth="1"/>
    <col min="6" max="6" width="9.109375" style="279" customWidth="1"/>
    <col min="7" max="7" width="25.33203125" style="253" hidden="1" customWidth="1"/>
    <col min="8" max="8" width="83.6640625" style="254" hidden="1" customWidth="1"/>
    <col min="9" max="9" width="7.44140625" style="254" hidden="1" customWidth="1"/>
    <col min="10" max="10" width="12.109375" style="254" hidden="1" customWidth="1"/>
    <col min="11" max="11" width="10.6640625" style="254" hidden="1" customWidth="1"/>
    <col min="12" max="12" width="4.109375" style="255" customWidth="1"/>
    <col min="13" max="13" width="4.5546875" style="255" customWidth="1"/>
    <col min="14" max="329" width="9.109375" style="297"/>
    <col min="330" max="16384" width="9.109375" style="255"/>
  </cols>
  <sheetData>
    <row r="1" spans="1:329" s="259" customFormat="1" ht="15.6">
      <c r="A1" s="713" t="s">
        <v>591</v>
      </c>
      <c r="B1" s="714"/>
      <c r="C1" s="260"/>
      <c r="D1" s="481" t="s">
        <v>465</v>
      </c>
      <c r="E1" s="263" t="s">
        <v>234</v>
      </c>
      <c r="F1" s="261"/>
      <c r="G1" s="258"/>
      <c r="H1" s="254"/>
      <c r="I1" s="254"/>
      <c r="J1" s="254"/>
      <c r="K1" s="254" t="s">
        <v>233</v>
      </c>
      <c r="N1" s="374"/>
      <c r="O1" s="374"/>
      <c r="P1" s="374"/>
      <c r="Q1" s="374"/>
      <c r="R1" s="374"/>
      <c r="S1" s="374"/>
      <c r="T1" s="374"/>
      <c r="U1" s="374"/>
      <c r="V1" s="374"/>
      <c r="W1" s="374"/>
      <c r="X1" s="374"/>
      <c r="Y1" s="374"/>
      <c r="Z1" s="374"/>
      <c r="AA1" s="374"/>
      <c r="AB1" s="374"/>
      <c r="AC1" s="374"/>
      <c r="AD1" s="374"/>
      <c r="AE1" s="374"/>
      <c r="AF1" s="374"/>
      <c r="AG1" s="374"/>
      <c r="AH1" s="374"/>
      <c r="AI1" s="374"/>
      <c r="AJ1" s="374"/>
      <c r="AK1" s="374"/>
      <c r="AL1" s="374"/>
      <c r="AM1" s="374"/>
      <c r="AN1" s="374"/>
      <c r="AO1" s="374"/>
      <c r="AP1" s="374"/>
      <c r="AQ1" s="374"/>
      <c r="AR1" s="374"/>
      <c r="AS1" s="374"/>
      <c r="AT1" s="374"/>
      <c r="AU1" s="374"/>
      <c r="AV1" s="374"/>
      <c r="AW1" s="374"/>
      <c r="AX1" s="374"/>
      <c r="AY1" s="374"/>
      <c r="AZ1" s="374"/>
      <c r="BA1" s="374"/>
      <c r="BB1" s="374"/>
      <c r="BC1" s="374"/>
      <c r="BD1" s="374"/>
      <c r="BE1" s="374"/>
      <c r="BF1" s="374"/>
      <c r="BG1" s="374"/>
      <c r="BH1" s="374"/>
      <c r="BI1" s="374"/>
      <c r="BJ1" s="374"/>
      <c r="BK1" s="374"/>
      <c r="BL1" s="374"/>
      <c r="BM1" s="374"/>
      <c r="BN1" s="374"/>
      <c r="BO1" s="374"/>
      <c r="BP1" s="374"/>
      <c r="BQ1" s="374"/>
      <c r="BR1" s="374"/>
      <c r="BS1" s="374"/>
      <c r="BT1" s="374"/>
      <c r="BU1" s="374"/>
      <c r="BV1" s="374"/>
      <c r="BW1" s="374"/>
      <c r="BX1" s="374"/>
      <c r="BY1" s="374"/>
      <c r="BZ1" s="374"/>
      <c r="CA1" s="374"/>
      <c r="CB1" s="374"/>
      <c r="CC1" s="374"/>
      <c r="CD1" s="374"/>
      <c r="CE1" s="374"/>
      <c r="CF1" s="374"/>
      <c r="CG1" s="374"/>
      <c r="CH1" s="374"/>
      <c r="CI1" s="374"/>
      <c r="CJ1" s="374"/>
      <c r="CK1" s="374"/>
      <c r="CL1" s="374"/>
      <c r="CM1" s="374"/>
      <c r="CN1" s="374"/>
      <c r="CO1" s="374"/>
      <c r="CP1" s="374"/>
      <c r="CQ1" s="374"/>
      <c r="CR1" s="374"/>
      <c r="CS1" s="374"/>
      <c r="CT1" s="374"/>
      <c r="CU1" s="374"/>
      <c r="CV1" s="374"/>
      <c r="CW1" s="374"/>
      <c r="CX1" s="374"/>
      <c r="CY1" s="374"/>
      <c r="CZ1" s="374"/>
      <c r="DA1" s="374"/>
      <c r="DB1" s="374"/>
      <c r="DC1" s="374"/>
      <c r="DD1" s="374"/>
      <c r="DE1" s="374"/>
      <c r="DF1" s="374"/>
      <c r="DG1" s="374"/>
      <c r="DH1" s="374"/>
      <c r="DI1" s="374"/>
      <c r="DJ1" s="374"/>
      <c r="DK1" s="374"/>
      <c r="DL1" s="374"/>
      <c r="DM1" s="374"/>
      <c r="DN1" s="374"/>
      <c r="DO1" s="374"/>
      <c r="DP1" s="374"/>
      <c r="DQ1" s="374"/>
      <c r="DR1" s="374"/>
      <c r="DS1" s="374"/>
      <c r="DT1" s="374"/>
      <c r="DU1" s="374"/>
      <c r="DV1" s="374"/>
      <c r="DW1" s="374"/>
      <c r="DX1" s="374"/>
      <c r="DY1" s="374"/>
      <c r="DZ1" s="374"/>
      <c r="EA1" s="374"/>
      <c r="EB1" s="374"/>
      <c r="EC1" s="374"/>
      <c r="ED1" s="374"/>
      <c r="EE1" s="374"/>
      <c r="EF1" s="374"/>
      <c r="EG1" s="374"/>
      <c r="EH1" s="374"/>
      <c r="EI1" s="374"/>
      <c r="EJ1" s="374"/>
      <c r="EK1" s="374"/>
      <c r="EL1" s="374"/>
      <c r="EM1" s="374"/>
      <c r="EN1" s="374"/>
      <c r="EO1" s="374"/>
      <c r="EP1" s="374"/>
      <c r="EQ1" s="374"/>
      <c r="ER1" s="374"/>
      <c r="ES1" s="374"/>
      <c r="ET1" s="374"/>
      <c r="EU1" s="374"/>
      <c r="EV1" s="374"/>
      <c r="EW1" s="374"/>
      <c r="EX1" s="374"/>
      <c r="EY1" s="374"/>
      <c r="EZ1" s="374"/>
      <c r="FA1" s="374"/>
      <c r="FB1" s="374"/>
      <c r="FC1" s="374"/>
      <c r="FD1" s="374"/>
      <c r="FE1" s="374"/>
      <c r="FF1" s="374"/>
      <c r="FG1" s="374"/>
      <c r="FH1" s="374"/>
      <c r="FI1" s="374"/>
      <c r="FJ1" s="374"/>
      <c r="FK1" s="374"/>
      <c r="FL1" s="374"/>
      <c r="FM1" s="374"/>
      <c r="FN1" s="374"/>
      <c r="FO1" s="374"/>
      <c r="FP1" s="374"/>
      <c r="FQ1" s="374"/>
      <c r="FR1" s="374"/>
      <c r="FS1" s="374"/>
      <c r="FT1" s="374"/>
      <c r="FU1" s="374"/>
      <c r="FV1" s="374"/>
      <c r="FW1" s="374"/>
      <c r="FX1" s="374"/>
      <c r="FY1" s="374"/>
      <c r="FZ1" s="374"/>
      <c r="GA1" s="374"/>
      <c r="GB1" s="374"/>
      <c r="GC1" s="374"/>
      <c r="GD1" s="374"/>
      <c r="GE1" s="374"/>
      <c r="GF1" s="374"/>
      <c r="GG1" s="374"/>
      <c r="GH1" s="374"/>
      <c r="GI1" s="374"/>
      <c r="GJ1" s="374"/>
      <c r="GK1" s="374"/>
      <c r="GL1" s="374"/>
      <c r="GM1" s="374"/>
      <c r="GN1" s="374"/>
      <c r="GO1" s="374"/>
      <c r="GP1" s="374"/>
      <c r="GQ1" s="374"/>
      <c r="GR1" s="374"/>
      <c r="GS1" s="374"/>
      <c r="GT1" s="374"/>
      <c r="GU1" s="374"/>
      <c r="GV1" s="374"/>
      <c r="GW1" s="374"/>
      <c r="GX1" s="374"/>
      <c r="GY1" s="374"/>
      <c r="GZ1" s="374"/>
      <c r="HA1" s="374"/>
      <c r="HB1" s="374"/>
      <c r="HC1" s="374"/>
      <c r="HD1" s="374"/>
      <c r="HE1" s="374"/>
      <c r="HF1" s="374"/>
      <c r="HG1" s="374"/>
      <c r="HH1" s="374"/>
      <c r="HI1" s="374"/>
      <c r="HJ1" s="374"/>
      <c r="HK1" s="374"/>
      <c r="HL1" s="374"/>
      <c r="HM1" s="374"/>
      <c r="HN1" s="374"/>
      <c r="HO1" s="374"/>
      <c r="HP1" s="374"/>
      <c r="HQ1" s="374"/>
      <c r="HR1" s="374"/>
      <c r="HS1" s="374"/>
      <c r="HT1" s="374"/>
      <c r="HU1" s="374"/>
      <c r="HV1" s="374"/>
      <c r="HW1" s="374"/>
      <c r="HX1" s="374"/>
      <c r="HY1" s="374"/>
      <c r="HZ1" s="374"/>
      <c r="IA1" s="374"/>
      <c r="IB1" s="374"/>
      <c r="IC1" s="374"/>
      <c r="ID1" s="374"/>
      <c r="IE1" s="374"/>
      <c r="IF1" s="374"/>
      <c r="IG1" s="374"/>
      <c r="IH1" s="374"/>
      <c r="II1" s="374"/>
      <c r="IJ1" s="374"/>
      <c r="IK1" s="374"/>
      <c r="IL1" s="374"/>
      <c r="IM1" s="374"/>
      <c r="IN1" s="374"/>
      <c r="IO1" s="374"/>
      <c r="IP1" s="374"/>
      <c r="IQ1" s="374"/>
      <c r="IR1" s="374"/>
      <c r="IS1" s="374"/>
      <c r="IT1" s="374"/>
      <c r="IU1" s="374"/>
      <c r="IV1" s="374"/>
      <c r="IW1" s="374"/>
      <c r="IX1" s="374"/>
      <c r="IY1" s="374"/>
      <c r="IZ1" s="374"/>
      <c r="JA1" s="374"/>
      <c r="JB1" s="374"/>
      <c r="JC1" s="374"/>
      <c r="JD1" s="374"/>
      <c r="JE1" s="374"/>
      <c r="JF1" s="374"/>
      <c r="JG1" s="374"/>
      <c r="JH1" s="374"/>
      <c r="JI1" s="374"/>
      <c r="JJ1" s="374"/>
      <c r="JK1" s="374"/>
      <c r="JL1" s="374"/>
      <c r="JM1" s="374"/>
      <c r="JN1" s="374"/>
      <c r="JO1" s="374"/>
      <c r="JP1" s="374"/>
      <c r="JQ1" s="374"/>
      <c r="JR1" s="374"/>
      <c r="JS1" s="374"/>
      <c r="JT1" s="374"/>
      <c r="JU1" s="374"/>
      <c r="JV1" s="374"/>
      <c r="JW1" s="374"/>
      <c r="JX1" s="374"/>
      <c r="JY1" s="374"/>
      <c r="JZ1" s="374"/>
      <c r="KA1" s="374"/>
      <c r="KB1" s="374"/>
      <c r="KC1" s="374"/>
      <c r="KD1" s="374"/>
      <c r="KE1" s="374"/>
      <c r="KF1" s="374"/>
      <c r="KG1" s="374"/>
      <c r="KH1" s="374"/>
      <c r="KI1" s="374"/>
      <c r="KJ1" s="374"/>
      <c r="KK1" s="374"/>
      <c r="KL1" s="374"/>
      <c r="KM1" s="374"/>
      <c r="KN1" s="374"/>
      <c r="KO1" s="374"/>
      <c r="KP1" s="374"/>
      <c r="KQ1" s="374"/>
      <c r="KR1" s="374"/>
      <c r="KS1" s="374"/>
      <c r="KT1" s="374"/>
      <c r="KU1" s="374"/>
      <c r="KV1" s="374"/>
      <c r="KW1" s="374"/>
      <c r="KX1" s="374"/>
      <c r="KY1" s="374"/>
      <c r="KZ1" s="374"/>
      <c r="LA1" s="374"/>
      <c r="LB1" s="374"/>
      <c r="LC1" s="374"/>
      <c r="LD1" s="374"/>
      <c r="LE1" s="374"/>
      <c r="LF1" s="374"/>
      <c r="LG1" s="374"/>
      <c r="LH1" s="374"/>
      <c r="LI1" s="374"/>
      <c r="LJ1" s="374"/>
      <c r="LK1" s="374"/>
      <c r="LL1" s="374"/>
      <c r="LM1" s="374"/>
      <c r="LN1" s="374"/>
      <c r="LO1" s="374"/>
      <c r="LP1" s="374"/>
      <c r="LQ1" s="374"/>
    </row>
    <row r="2" spans="1:329" s="259" customFormat="1" ht="15.6">
      <c r="A2" s="715" t="s">
        <v>590</v>
      </c>
      <c r="B2" s="716"/>
      <c r="C2" s="260"/>
      <c r="D2" s="481"/>
      <c r="E2" s="263" t="s">
        <v>235</v>
      </c>
      <c r="F2" s="261"/>
      <c r="G2" s="258"/>
      <c r="H2" s="254"/>
      <c r="I2" s="254"/>
      <c r="J2" s="254"/>
      <c r="K2" s="254" t="s">
        <v>233</v>
      </c>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4"/>
      <c r="AV2" s="374"/>
      <c r="AW2" s="374"/>
      <c r="AX2" s="374"/>
      <c r="AY2" s="374"/>
      <c r="AZ2" s="374"/>
      <c r="BA2" s="374"/>
      <c r="BB2" s="374"/>
      <c r="BC2" s="374"/>
      <c r="BD2" s="374"/>
      <c r="BE2" s="374"/>
      <c r="BF2" s="374"/>
      <c r="BG2" s="374"/>
      <c r="BH2" s="374"/>
      <c r="BI2" s="374"/>
      <c r="BJ2" s="374"/>
      <c r="BK2" s="374"/>
      <c r="BL2" s="374"/>
      <c r="BM2" s="374"/>
      <c r="BN2" s="374"/>
      <c r="BO2" s="374"/>
      <c r="BP2" s="374"/>
      <c r="BQ2" s="374"/>
      <c r="BR2" s="374"/>
      <c r="BS2" s="374"/>
      <c r="BT2" s="374"/>
      <c r="BU2" s="374"/>
      <c r="BV2" s="374"/>
      <c r="BW2" s="374"/>
      <c r="BX2" s="374"/>
      <c r="BY2" s="374"/>
      <c r="BZ2" s="374"/>
      <c r="CA2" s="374"/>
      <c r="CB2" s="374"/>
      <c r="CC2" s="374"/>
      <c r="CD2" s="374"/>
      <c r="CE2" s="374"/>
      <c r="CF2" s="374"/>
      <c r="CG2" s="374"/>
      <c r="CH2" s="374"/>
      <c r="CI2" s="374"/>
      <c r="CJ2" s="374"/>
      <c r="CK2" s="374"/>
      <c r="CL2" s="374"/>
      <c r="CM2" s="374"/>
      <c r="CN2" s="374"/>
      <c r="CO2" s="374"/>
      <c r="CP2" s="374"/>
      <c r="CQ2" s="374"/>
      <c r="CR2" s="374"/>
      <c r="CS2" s="374"/>
      <c r="CT2" s="374"/>
      <c r="CU2" s="374"/>
      <c r="CV2" s="374"/>
      <c r="CW2" s="374"/>
      <c r="CX2" s="374"/>
      <c r="CY2" s="374"/>
      <c r="CZ2" s="374"/>
      <c r="DA2" s="374"/>
      <c r="DB2" s="374"/>
      <c r="DC2" s="374"/>
      <c r="DD2" s="374"/>
      <c r="DE2" s="374"/>
      <c r="DF2" s="374"/>
      <c r="DG2" s="374"/>
      <c r="DH2" s="374"/>
      <c r="DI2" s="374"/>
      <c r="DJ2" s="374"/>
      <c r="DK2" s="374"/>
      <c r="DL2" s="374"/>
      <c r="DM2" s="374"/>
      <c r="DN2" s="374"/>
      <c r="DO2" s="374"/>
      <c r="DP2" s="374"/>
      <c r="DQ2" s="374"/>
      <c r="DR2" s="374"/>
      <c r="DS2" s="374"/>
      <c r="DT2" s="374"/>
      <c r="DU2" s="374"/>
      <c r="DV2" s="374"/>
      <c r="DW2" s="374"/>
      <c r="DX2" s="374"/>
      <c r="DY2" s="374"/>
      <c r="DZ2" s="374"/>
      <c r="EA2" s="374"/>
      <c r="EB2" s="374"/>
      <c r="EC2" s="374"/>
      <c r="ED2" s="374"/>
      <c r="EE2" s="374"/>
      <c r="EF2" s="374"/>
      <c r="EG2" s="374"/>
      <c r="EH2" s="374"/>
      <c r="EI2" s="374"/>
      <c r="EJ2" s="374"/>
      <c r="EK2" s="374"/>
      <c r="EL2" s="374"/>
      <c r="EM2" s="374"/>
      <c r="EN2" s="374"/>
      <c r="EO2" s="374"/>
      <c r="EP2" s="374"/>
      <c r="EQ2" s="374"/>
      <c r="ER2" s="374"/>
      <c r="ES2" s="374"/>
      <c r="ET2" s="374"/>
      <c r="EU2" s="374"/>
      <c r="EV2" s="374"/>
      <c r="EW2" s="374"/>
      <c r="EX2" s="374"/>
      <c r="EY2" s="374"/>
      <c r="EZ2" s="374"/>
      <c r="FA2" s="374"/>
      <c r="FB2" s="374"/>
      <c r="FC2" s="374"/>
      <c r="FD2" s="374"/>
      <c r="FE2" s="374"/>
      <c r="FF2" s="374"/>
      <c r="FG2" s="374"/>
      <c r="FH2" s="374"/>
      <c r="FI2" s="374"/>
      <c r="FJ2" s="374"/>
      <c r="FK2" s="374"/>
      <c r="FL2" s="374"/>
      <c r="FM2" s="374"/>
      <c r="FN2" s="374"/>
      <c r="FO2" s="374"/>
      <c r="FP2" s="374"/>
      <c r="FQ2" s="374"/>
      <c r="FR2" s="374"/>
      <c r="FS2" s="374"/>
      <c r="FT2" s="374"/>
      <c r="FU2" s="374"/>
      <c r="FV2" s="374"/>
      <c r="FW2" s="374"/>
      <c r="FX2" s="374"/>
      <c r="FY2" s="374"/>
      <c r="FZ2" s="374"/>
      <c r="GA2" s="374"/>
      <c r="GB2" s="374"/>
      <c r="GC2" s="374"/>
      <c r="GD2" s="374"/>
      <c r="GE2" s="374"/>
      <c r="GF2" s="374"/>
      <c r="GG2" s="374"/>
      <c r="GH2" s="374"/>
      <c r="GI2" s="374"/>
      <c r="GJ2" s="374"/>
      <c r="GK2" s="374"/>
      <c r="GL2" s="374"/>
      <c r="GM2" s="374"/>
      <c r="GN2" s="374"/>
      <c r="GO2" s="374"/>
      <c r="GP2" s="374"/>
      <c r="GQ2" s="374"/>
      <c r="GR2" s="374"/>
      <c r="GS2" s="374"/>
      <c r="GT2" s="374"/>
      <c r="GU2" s="374"/>
      <c r="GV2" s="374"/>
      <c r="GW2" s="374"/>
      <c r="GX2" s="374"/>
      <c r="GY2" s="374"/>
      <c r="GZ2" s="374"/>
      <c r="HA2" s="374"/>
      <c r="HB2" s="374"/>
      <c r="HC2" s="374"/>
      <c r="HD2" s="374"/>
      <c r="HE2" s="374"/>
      <c r="HF2" s="374"/>
      <c r="HG2" s="374"/>
      <c r="HH2" s="374"/>
      <c r="HI2" s="374"/>
      <c r="HJ2" s="374"/>
      <c r="HK2" s="374"/>
      <c r="HL2" s="374"/>
      <c r="HM2" s="374"/>
      <c r="HN2" s="374"/>
      <c r="HO2" s="374"/>
      <c r="HP2" s="374"/>
      <c r="HQ2" s="374"/>
      <c r="HR2" s="374"/>
      <c r="HS2" s="374"/>
      <c r="HT2" s="374"/>
      <c r="HU2" s="374"/>
      <c r="HV2" s="374"/>
      <c r="HW2" s="374"/>
      <c r="HX2" s="374"/>
      <c r="HY2" s="374"/>
      <c r="HZ2" s="374"/>
      <c r="IA2" s="374"/>
      <c r="IB2" s="374"/>
      <c r="IC2" s="374"/>
      <c r="ID2" s="374"/>
      <c r="IE2" s="374"/>
      <c r="IF2" s="374"/>
      <c r="IG2" s="374"/>
      <c r="IH2" s="374"/>
      <c r="II2" s="374"/>
      <c r="IJ2" s="374"/>
      <c r="IK2" s="374"/>
      <c r="IL2" s="374"/>
      <c r="IM2" s="374"/>
      <c r="IN2" s="374"/>
      <c r="IO2" s="374"/>
      <c r="IP2" s="374"/>
      <c r="IQ2" s="374"/>
      <c r="IR2" s="374"/>
      <c r="IS2" s="374"/>
      <c r="IT2" s="374"/>
      <c r="IU2" s="374"/>
      <c r="IV2" s="374"/>
      <c r="IW2" s="374"/>
      <c r="IX2" s="374"/>
      <c r="IY2" s="374"/>
      <c r="IZ2" s="374"/>
      <c r="JA2" s="374"/>
      <c r="JB2" s="374"/>
      <c r="JC2" s="374"/>
      <c r="JD2" s="374"/>
      <c r="JE2" s="374"/>
      <c r="JF2" s="374"/>
      <c r="JG2" s="374"/>
      <c r="JH2" s="374"/>
      <c r="JI2" s="374"/>
      <c r="JJ2" s="374"/>
      <c r="JK2" s="374"/>
      <c r="JL2" s="374"/>
      <c r="JM2" s="374"/>
      <c r="JN2" s="374"/>
      <c r="JO2" s="374"/>
      <c r="JP2" s="374"/>
      <c r="JQ2" s="374"/>
      <c r="JR2" s="374"/>
      <c r="JS2" s="374"/>
      <c r="JT2" s="374"/>
      <c r="JU2" s="374"/>
      <c r="JV2" s="374"/>
      <c r="JW2" s="374"/>
      <c r="JX2" s="374"/>
      <c r="JY2" s="374"/>
      <c r="JZ2" s="374"/>
      <c r="KA2" s="374"/>
      <c r="KB2" s="374"/>
      <c r="KC2" s="374"/>
      <c r="KD2" s="374"/>
      <c r="KE2" s="374"/>
      <c r="KF2" s="374"/>
      <c r="KG2" s="374"/>
      <c r="KH2" s="374"/>
      <c r="KI2" s="374"/>
      <c r="KJ2" s="374"/>
      <c r="KK2" s="374"/>
      <c r="KL2" s="374"/>
      <c r="KM2" s="374"/>
      <c r="KN2" s="374"/>
      <c r="KO2" s="374"/>
      <c r="KP2" s="374"/>
      <c r="KQ2" s="374"/>
      <c r="KR2" s="374"/>
      <c r="KS2" s="374"/>
      <c r="KT2" s="374"/>
      <c r="KU2" s="374"/>
      <c r="KV2" s="374"/>
      <c r="KW2" s="374"/>
      <c r="KX2" s="374"/>
      <c r="KY2" s="374"/>
      <c r="KZ2" s="374"/>
      <c r="LA2" s="374"/>
      <c r="LB2" s="374"/>
      <c r="LC2" s="374"/>
      <c r="LD2" s="374"/>
      <c r="LE2" s="374"/>
      <c r="LF2" s="374"/>
      <c r="LG2" s="374"/>
      <c r="LH2" s="374"/>
      <c r="LI2" s="374"/>
      <c r="LJ2" s="374"/>
      <c r="LK2" s="374"/>
      <c r="LL2" s="374"/>
      <c r="LM2" s="374"/>
      <c r="LN2" s="374"/>
      <c r="LO2" s="374"/>
      <c r="LP2" s="374"/>
      <c r="LQ2" s="374"/>
    </row>
    <row r="3" spans="1:329" s="259" customFormat="1">
      <c r="A3" s="516"/>
      <c r="B3" s="716"/>
      <c r="C3" s="260"/>
      <c r="D3" s="265" t="s">
        <v>503</v>
      </c>
      <c r="E3" s="263" t="s">
        <v>236</v>
      </c>
      <c r="F3" s="261"/>
      <c r="G3" s="258"/>
      <c r="H3" s="254"/>
      <c r="I3" s="254"/>
      <c r="J3" s="254"/>
      <c r="K3" s="254" t="s">
        <v>233</v>
      </c>
      <c r="N3" s="374"/>
      <c r="O3" s="374"/>
      <c r="P3" s="374"/>
      <c r="Q3" s="374"/>
      <c r="R3" s="374"/>
      <c r="S3" s="374"/>
      <c r="T3" s="374"/>
      <c r="U3" s="374"/>
      <c r="V3" s="374"/>
      <c r="W3" s="374"/>
      <c r="X3" s="374"/>
      <c r="Y3" s="374"/>
      <c r="Z3" s="374"/>
      <c r="AA3" s="374"/>
      <c r="AB3" s="374"/>
      <c r="AC3" s="374"/>
      <c r="AD3" s="374"/>
      <c r="AE3" s="374"/>
      <c r="AF3" s="374"/>
      <c r="AG3" s="374"/>
      <c r="AH3" s="374"/>
      <c r="AI3" s="374"/>
      <c r="AJ3" s="374"/>
      <c r="AK3" s="374"/>
      <c r="AL3" s="374"/>
      <c r="AM3" s="374"/>
      <c r="AN3" s="374"/>
      <c r="AO3" s="374"/>
      <c r="AP3" s="374"/>
      <c r="AQ3" s="374"/>
      <c r="AR3" s="374"/>
      <c r="AS3" s="374"/>
      <c r="AT3" s="374"/>
      <c r="AU3" s="374"/>
      <c r="AV3" s="374"/>
      <c r="AW3" s="374"/>
      <c r="AX3" s="374"/>
      <c r="AY3" s="374"/>
      <c r="AZ3" s="374"/>
      <c r="BA3" s="374"/>
      <c r="BB3" s="374"/>
      <c r="BC3" s="374"/>
      <c r="BD3" s="374"/>
      <c r="BE3" s="374"/>
      <c r="BF3" s="374"/>
      <c r="BG3" s="374"/>
      <c r="BH3" s="374"/>
      <c r="BI3" s="374"/>
      <c r="BJ3" s="374"/>
      <c r="BK3" s="374"/>
      <c r="BL3" s="374"/>
      <c r="BM3" s="374"/>
      <c r="BN3" s="374"/>
      <c r="BO3" s="374"/>
      <c r="BP3" s="374"/>
      <c r="BQ3" s="374"/>
      <c r="BR3" s="374"/>
      <c r="BS3" s="374"/>
      <c r="BT3" s="374"/>
      <c r="BU3" s="374"/>
      <c r="BV3" s="374"/>
      <c r="BW3" s="374"/>
      <c r="BX3" s="374"/>
      <c r="BY3" s="374"/>
      <c r="BZ3" s="374"/>
      <c r="CA3" s="374"/>
      <c r="CB3" s="374"/>
      <c r="CC3" s="374"/>
      <c r="CD3" s="374"/>
      <c r="CE3" s="374"/>
      <c r="CF3" s="374"/>
      <c r="CG3" s="374"/>
      <c r="CH3" s="374"/>
      <c r="CI3" s="374"/>
      <c r="CJ3" s="374"/>
      <c r="CK3" s="374"/>
      <c r="CL3" s="374"/>
      <c r="CM3" s="374"/>
      <c r="CN3" s="374"/>
      <c r="CO3" s="374"/>
      <c r="CP3" s="374"/>
      <c r="CQ3" s="374"/>
      <c r="CR3" s="374"/>
      <c r="CS3" s="374"/>
      <c r="CT3" s="374"/>
      <c r="CU3" s="374"/>
      <c r="CV3" s="374"/>
      <c r="CW3" s="374"/>
      <c r="CX3" s="374"/>
      <c r="CY3" s="374"/>
      <c r="CZ3" s="374"/>
      <c r="DA3" s="374"/>
      <c r="DB3" s="374"/>
      <c r="DC3" s="374"/>
      <c r="DD3" s="374"/>
      <c r="DE3" s="374"/>
      <c r="DF3" s="374"/>
      <c r="DG3" s="374"/>
      <c r="DH3" s="374"/>
      <c r="DI3" s="374"/>
      <c r="DJ3" s="374"/>
      <c r="DK3" s="374"/>
      <c r="DL3" s="374"/>
      <c r="DM3" s="374"/>
      <c r="DN3" s="374"/>
      <c r="DO3" s="374"/>
      <c r="DP3" s="374"/>
      <c r="DQ3" s="374"/>
      <c r="DR3" s="374"/>
      <c r="DS3" s="374"/>
      <c r="DT3" s="374"/>
      <c r="DU3" s="374"/>
      <c r="DV3" s="374"/>
      <c r="DW3" s="374"/>
      <c r="DX3" s="374"/>
      <c r="DY3" s="374"/>
      <c r="DZ3" s="374"/>
      <c r="EA3" s="374"/>
      <c r="EB3" s="374"/>
      <c r="EC3" s="374"/>
      <c r="ED3" s="374"/>
      <c r="EE3" s="374"/>
      <c r="EF3" s="374"/>
      <c r="EG3" s="374"/>
      <c r="EH3" s="374"/>
      <c r="EI3" s="374"/>
      <c r="EJ3" s="374"/>
      <c r="EK3" s="374"/>
      <c r="EL3" s="374"/>
      <c r="EM3" s="374"/>
      <c r="EN3" s="374"/>
      <c r="EO3" s="374"/>
      <c r="EP3" s="374"/>
      <c r="EQ3" s="374"/>
      <c r="ER3" s="374"/>
      <c r="ES3" s="374"/>
      <c r="ET3" s="374"/>
      <c r="EU3" s="374"/>
      <c r="EV3" s="374"/>
      <c r="EW3" s="374"/>
      <c r="EX3" s="374"/>
      <c r="EY3" s="374"/>
      <c r="EZ3" s="374"/>
      <c r="FA3" s="374"/>
      <c r="FB3" s="374"/>
      <c r="FC3" s="374"/>
      <c r="FD3" s="374"/>
      <c r="FE3" s="374"/>
      <c r="FF3" s="374"/>
      <c r="FG3" s="374"/>
      <c r="FH3" s="374"/>
      <c r="FI3" s="374"/>
      <c r="FJ3" s="374"/>
      <c r="FK3" s="374"/>
      <c r="FL3" s="374"/>
      <c r="FM3" s="374"/>
      <c r="FN3" s="374"/>
      <c r="FO3" s="374"/>
      <c r="FP3" s="374"/>
      <c r="FQ3" s="374"/>
      <c r="FR3" s="374"/>
      <c r="FS3" s="374"/>
      <c r="FT3" s="374"/>
      <c r="FU3" s="374"/>
      <c r="FV3" s="374"/>
      <c r="FW3" s="374"/>
      <c r="FX3" s="374"/>
      <c r="FY3" s="374"/>
      <c r="FZ3" s="374"/>
      <c r="GA3" s="374"/>
      <c r="GB3" s="374"/>
      <c r="GC3" s="374"/>
      <c r="GD3" s="374"/>
      <c r="GE3" s="374"/>
      <c r="GF3" s="374"/>
      <c r="GG3" s="374"/>
      <c r="GH3" s="374"/>
      <c r="GI3" s="374"/>
      <c r="GJ3" s="374"/>
      <c r="GK3" s="374"/>
      <c r="GL3" s="374"/>
      <c r="GM3" s="374"/>
      <c r="GN3" s="374"/>
      <c r="GO3" s="374"/>
      <c r="GP3" s="374"/>
      <c r="GQ3" s="374"/>
      <c r="GR3" s="374"/>
      <c r="GS3" s="374"/>
      <c r="GT3" s="374"/>
      <c r="GU3" s="374"/>
      <c r="GV3" s="374"/>
      <c r="GW3" s="374"/>
      <c r="GX3" s="374"/>
      <c r="GY3" s="374"/>
      <c r="GZ3" s="374"/>
      <c r="HA3" s="374"/>
      <c r="HB3" s="374"/>
      <c r="HC3" s="374"/>
      <c r="HD3" s="374"/>
      <c r="HE3" s="374"/>
      <c r="HF3" s="374"/>
      <c r="HG3" s="374"/>
      <c r="HH3" s="374"/>
      <c r="HI3" s="374"/>
      <c r="HJ3" s="374"/>
      <c r="HK3" s="374"/>
      <c r="HL3" s="374"/>
      <c r="HM3" s="374"/>
      <c r="HN3" s="374"/>
      <c r="HO3" s="374"/>
      <c r="HP3" s="374"/>
      <c r="HQ3" s="374"/>
      <c r="HR3" s="374"/>
      <c r="HS3" s="374"/>
      <c r="HT3" s="374"/>
      <c r="HU3" s="374"/>
      <c r="HV3" s="374"/>
      <c r="HW3" s="374"/>
      <c r="HX3" s="374"/>
      <c r="HY3" s="374"/>
      <c r="HZ3" s="374"/>
      <c r="IA3" s="374"/>
      <c r="IB3" s="374"/>
      <c r="IC3" s="374"/>
      <c r="ID3" s="374"/>
      <c r="IE3" s="374"/>
      <c r="IF3" s="374"/>
      <c r="IG3" s="374"/>
      <c r="IH3" s="374"/>
      <c r="II3" s="374"/>
      <c r="IJ3" s="374"/>
      <c r="IK3" s="374"/>
      <c r="IL3" s="374"/>
      <c r="IM3" s="374"/>
      <c r="IN3" s="374"/>
      <c r="IO3" s="374"/>
      <c r="IP3" s="374"/>
      <c r="IQ3" s="374"/>
      <c r="IR3" s="374"/>
      <c r="IS3" s="374"/>
      <c r="IT3" s="374"/>
      <c r="IU3" s="374"/>
      <c r="IV3" s="374"/>
      <c r="IW3" s="374"/>
      <c r="IX3" s="374"/>
      <c r="IY3" s="374"/>
      <c r="IZ3" s="374"/>
      <c r="JA3" s="374"/>
      <c r="JB3" s="374"/>
      <c r="JC3" s="374"/>
      <c r="JD3" s="374"/>
      <c r="JE3" s="374"/>
      <c r="JF3" s="374"/>
      <c r="JG3" s="374"/>
      <c r="JH3" s="374"/>
      <c r="JI3" s="374"/>
      <c r="JJ3" s="374"/>
      <c r="JK3" s="374"/>
      <c r="JL3" s="374"/>
      <c r="JM3" s="374"/>
      <c r="JN3" s="374"/>
      <c r="JO3" s="374"/>
      <c r="JP3" s="374"/>
      <c r="JQ3" s="374"/>
      <c r="JR3" s="374"/>
      <c r="JS3" s="374"/>
      <c r="JT3" s="374"/>
      <c r="JU3" s="374"/>
      <c r="JV3" s="374"/>
      <c r="JW3" s="374"/>
      <c r="JX3" s="374"/>
      <c r="JY3" s="374"/>
      <c r="JZ3" s="374"/>
      <c r="KA3" s="374"/>
      <c r="KB3" s="374"/>
      <c r="KC3" s="374"/>
      <c r="KD3" s="374"/>
      <c r="KE3" s="374"/>
      <c r="KF3" s="374"/>
      <c r="KG3" s="374"/>
      <c r="KH3" s="374"/>
      <c r="KI3" s="374"/>
      <c r="KJ3" s="374"/>
      <c r="KK3" s="374"/>
      <c r="KL3" s="374"/>
      <c r="KM3" s="374"/>
      <c r="KN3" s="374"/>
      <c r="KO3" s="374"/>
      <c r="KP3" s="374"/>
      <c r="KQ3" s="374"/>
      <c r="KR3" s="374"/>
      <c r="KS3" s="374"/>
      <c r="KT3" s="374"/>
      <c r="KU3" s="374"/>
      <c r="KV3" s="374"/>
      <c r="KW3" s="374"/>
      <c r="KX3" s="374"/>
      <c r="KY3" s="374"/>
      <c r="KZ3" s="374"/>
      <c r="LA3" s="374"/>
      <c r="LB3" s="374"/>
      <c r="LC3" s="374"/>
      <c r="LD3" s="374"/>
      <c r="LE3" s="374"/>
      <c r="LF3" s="374"/>
      <c r="LG3" s="374"/>
      <c r="LH3" s="374"/>
      <c r="LI3" s="374"/>
      <c r="LJ3" s="374"/>
      <c r="LK3" s="374"/>
      <c r="LL3" s="374"/>
      <c r="LM3" s="374"/>
      <c r="LN3" s="374"/>
      <c r="LO3" s="374"/>
      <c r="LP3" s="374"/>
      <c r="LQ3" s="374"/>
    </row>
    <row r="4" spans="1:329" s="259" customFormat="1">
      <c r="A4" s="516"/>
      <c r="B4" s="716"/>
      <c r="C4" s="260"/>
      <c r="D4" s="265">
        <f>A151</f>
        <v>51</v>
      </c>
      <c r="E4" s="263" t="s">
        <v>237</v>
      </c>
      <c r="F4" s="261"/>
      <c r="G4" s="258"/>
      <c r="H4" s="254"/>
      <c r="I4" s="254"/>
      <c r="J4" s="254"/>
      <c r="K4" s="254" t="s">
        <v>233</v>
      </c>
      <c r="N4" s="374"/>
      <c r="O4" s="374"/>
      <c r="P4" s="374"/>
      <c r="Q4" s="374"/>
      <c r="R4" s="374"/>
      <c r="S4" s="374"/>
      <c r="T4" s="374"/>
      <c r="U4" s="374"/>
      <c r="V4" s="374"/>
      <c r="W4" s="374"/>
      <c r="X4" s="374"/>
      <c r="Y4" s="374"/>
      <c r="Z4" s="374"/>
      <c r="AA4" s="374"/>
      <c r="AB4" s="374"/>
      <c r="AC4" s="374"/>
      <c r="AD4" s="374"/>
      <c r="AE4" s="374"/>
      <c r="AF4" s="374"/>
      <c r="AG4" s="374"/>
      <c r="AH4" s="374"/>
      <c r="AI4" s="374"/>
      <c r="AJ4" s="374"/>
      <c r="AK4" s="374"/>
      <c r="AL4" s="374"/>
      <c r="AM4" s="374"/>
      <c r="AN4" s="374"/>
      <c r="AO4" s="374"/>
      <c r="AP4" s="374"/>
      <c r="AQ4" s="374"/>
      <c r="AR4" s="374"/>
      <c r="AS4" s="374"/>
      <c r="AT4" s="374"/>
      <c r="AU4" s="374"/>
      <c r="AV4" s="374"/>
      <c r="AW4" s="374"/>
      <c r="AX4" s="374"/>
      <c r="AY4" s="374"/>
      <c r="AZ4" s="374"/>
      <c r="BA4" s="374"/>
      <c r="BB4" s="374"/>
      <c r="BC4" s="374"/>
      <c r="BD4" s="374"/>
      <c r="BE4" s="374"/>
      <c r="BF4" s="374"/>
      <c r="BG4" s="374"/>
      <c r="BH4" s="374"/>
      <c r="BI4" s="374"/>
      <c r="BJ4" s="374"/>
      <c r="BK4" s="374"/>
      <c r="BL4" s="374"/>
      <c r="BM4" s="374"/>
      <c r="BN4" s="374"/>
      <c r="BO4" s="374"/>
      <c r="BP4" s="374"/>
      <c r="BQ4" s="374"/>
      <c r="BR4" s="374"/>
      <c r="BS4" s="374"/>
      <c r="BT4" s="374"/>
      <c r="BU4" s="374"/>
      <c r="BV4" s="374"/>
      <c r="BW4" s="374"/>
      <c r="BX4" s="374"/>
      <c r="BY4" s="374"/>
      <c r="BZ4" s="374"/>
      <c r="CA4" s="374"/>
      <c r="CB4" s="374"/>
      <c r="CC4" s="374"/>
      <c r="CD4" s="374"/>
      <c r="CE4" s="374"/>
      <c r="CF4" s="374"/>
      <c r="CG4" s="374"/>
      <c r="CH4" s="374"/>
      <c r="CI4" s="374"/>
      <c r="CJ4" s="374"/>
      <c r="CK4" s="374"/>
      <c r="CL4" s="374"/>
      <c r="CM4" s="374"/>
      <c r="CN4" s="374"/>
      <c r="CO4" s="374"/>
      <c r="CP4" s="374"/>
      <c r="CQ4" s="374"/>
      <c r="CR4" s="374"/>
      <c r="CS4" s="374"/>
      <c r="CT4" s="374"/>
      <c r="CU4" s="374"/>
      <c r="CV4" s="374"/>
      <c r="CW4" s="374"/>
      <c r="CX4" s="374"/>
      <c r="CY4" s="374"/>
      <c r="CZ4" s="374"/>
      <c r="DA4" s="374"/>
      <c r="DB4" s="374"/>
      <c r="DC4" s="374"/>
      <c r="DD4" s="374"/>
      <c r="DE4" s="374"/>
      <c r="DF4" s="374"/>
      <c r="DG4" s="374"/>
      <c r="DH4" s="374"/>
      <c r="DI4" s="374"/>
      <c r="DJ4" s="374"/>
      <c r="DK4" s="374"/>
      <c r="DL4" s="374"/>
      <c r="DM4" s="374"/>
      <c r="DN4" s="374"/>
      <c r="DO4" s="374"/>
      <c r="DP4" s="374"/>
      <c r="DQ4" s="374"/>
      <c r="DR4" s="374"/>
      <c r="DS4" s="374"/>
      <c r="DT4" s="374"/>
      <c r="DU4" s="374"/>
      <c r="DV4" s="374"/>
      <c r="DW4" s="374"/>
      <c r="DX4" s="374"/>
      <c r="DY4" s="374"/>
      <c r="DZ4" s="374"/>
      <c r="EA4" s="374"/>
      <c r="EB4" s="374"/>
      <c r="EC4" s="374"/>
      <c r="ED4" s="374"/>
      <c r="EE4" s="374"/>
      <c r="EF4" s="374"/>
      <c r="EG4" s="374"/>
      <c r="EH4" s="374"/>
      <c r="EI4" s="374"/>
      <c r="EJ4" s="374"/>
      <c r="EK4" s="374"/>
      <c r="EL4" s="374"/>
      <c r="EM4" s="374"/>
      <c r="EN4" s="374"/>
      <c r="EO4" s="374"/>
      <c r="EP4" s="374"/>
      <c r="EQ4" s="374"/>
      <c r="ER4" s="374"/>
      <c r="ES4" s="374"/>
      <c r="ET4" s="374"/>
      <c r="EU4" s="374"/>
      <c r="EV4" s="374"/>
      <c r="EW4" s="374"/>
      <c r="EX4" s="374"/>
      <c r="EY4" s="374"/>
      <c r="EZ4" s="374"/>
      <c r="FA4" s="374"/>
      <c r="FB4" s="374"/>
      <c r="FC4" s="374"/>
      <c r="FD4" s="374"/>
      <c r="FE4" s="374"/>
      <c r="FF4" s="374"/>
      <c r="FG4" s="374"/>
      <c r="FH4" s="374"/>
      <c r="FI4" s="374"/>
      <c r="FJ4" s="374"/>
      <c r="FK4" s="374"/>
      <c r="FL4" s="374"/>
      <c r="FM4" s="374"/>
      <c r="FN4" s="374"/>
      <c r="FO4" s="374"/>
      <c r="FP4" s="374"/>
      <c r="FQ4" s="374"/>
      <c r="FR4" s="374"/>
      <c r="FS4" s="374"/>
      <c r="FT4" s="374"/>
      <c r="FU4" s="374"/>
      <c r="FV4" s="374"/>
      <c r="FW4" s="374"/>
      <c r="FX4" s="374"/>
      <c r="FY4" s="374"/>
      <c r="FZ4" s="374"/>
      <c r="GA4" s="374"/>
      <c r="GB4" s="374"/>
      <c r="GC4" s="374"/>
      <c r="GD4" s="374"/>
      <c r="GE4" s="374"/>
      <c r="GF4" s="374"/>
      <c r="GG4" s="374"/>
      <c r="GH4" s="374"/>
      <c r="GI4" s="374"/>
      <c r="GJ4" s="374"/>
      <c r="GK4" s="374"/>
      <c r="GL4" s="374"/>
      <c r="GM4" s="374"/>
      <c r="GN4" s="374"/>
      <c r="GO4" s="374"/>
      <c r="GP4" s="374"/>
      <c r="GQ4" s="374"/>
      <c r="GR4" s="374"/>
      <c r="GS4" s="374"/>
      <c r="GT4" s="374"/>
      <c r="GU4" s="374"/>
      <c r="GV4" s="374"/>
      <c r="GW4" s="374"/>
      <c r="GX4" s="374"/>
      <c r="GY4" s="374"/>
      <c r="GZ4" s="374"/>
      <c r="HA4" s="374"/>
      <c r="HB4" s="374"/>
      <c r="HC4" s="374"/>
      <c r="HD4" s="374"/>
      <c r="HE4" s="374"/>
      <c r="HF4" s="374"/>
      <c r="HG4" s="374"/>
      <c r="HH4" s="374"/>
      <c r="HI4" s="374"/>
      <c r="HJ4" s="374"/>
      <c r="HK4" s="374"/>
      <c r="HL4" s="374"/>
      <c r="HM4" s="374"/>
      <c r="HN4" s="374"/>
      <c r="HO4" s="374"/>
      <c r="HP4" s="374"/>
      <c r="HQ4" s="374"/>
      <c r="HR4" s="374"/>
      <c r="HS4" s="374"/>
      <c r="HT4" s="374"/>
      <c r="HU4" s="374"/>
      <c r="HV4" s="374"/>
      <c r="HW4" s="374"/>
      <c r="HX4" s="374"/>
      <c r="HY4" s="374"/>
      <c r="HZ4" s="374"/>
      <c r="IA4" s="374"/>
      <c r="IB4" s="374"/>
      <c r="IC4" s="374"/>
      <c r="ID4" s="374"/>
      <c r="IE4" s="374"/>
      <c r="IF4" s="374"/>
      <c r="IG4" s="374"/>
      <c r="IH4" s="374"/>
      <c r="II4" s="374"/>
      <c r="IJ4" s="374"/>
      <c r="IK4" s="374"/>
      <c r="IL4" s="374"/>
      <c r="IM4" s="374"/>
      <c r="IN4" s="374"/>
      <c r="IO4" s="374"/>
      <c r="IP4" s="374"/>
      <c r="IQ4" s="374"/>
      <c r="IR4" s="374"/>
      <c r="IS4" s="374"/>
      <c r="IT4" s="374"/>
      <c r="IU4" s="374"/>
      <c r="IV4" s="374"/>
      <c r="IW4" s="374"/>
      <c r="IX4" s="374"/>
      <c r="IY4" s="374"/>
      <c r="IZ4" s="374"/>
      <c r="JA4" s="374"/>
      <c r="JB4" s="374"/>
      <c r="JC4" s="374"/>
      <c r="JD4" s="374"/>
      <c r="JE4" s="374"/>
      <c r="JF4" s="374"/>
      <c r="JG4" s="374"/>
      <c r="JH4" s="374"/>
      <c r="JI4" s="374"/>
      <c r="JJ4" s="374"/>
      <c r="JK4" s="374"/>
      <c r="JL4" s="374"/>
      <c r="JM4" s="374"/>
      <c r="JN4" s="374"/>
      <c r="JO4" s="374"/>
      <c r="JP4" s="374"/>
      <c r="JQ4" s="374"/>
      <c r="JR4" s="374"/>
      <c r="JS4" s="374"/>
      <c r="JT4" s="374"/>
      <c r="JU4" s="374"/>
      <c r="JV4" s="374"/>
      <c r="JW4" s="374"/>
      <c r="JX4" s="374"/>
      <c r="JY4" s="374"/>
      <c r="JZ4" s="374"/>
      <c r="KA4" s="374"/>
      <c r="KB4" s="374"/>
      <c r="KC4" s="374"/>
      <c r="KD4" s="374"/>
      <c r="KE4" s="374"/>
      <c r="KF4" s="374"/>
      <c r="KG4" s="374"/>
      <c r="KH4" s="374"/>
      <c r="KI4" s="374"/>
      <c r="KJ4" s="374"/>
      <c r="KK4" s="374"/>
      <c r="KL4" s="374"/>
      <c r="KM4" s="374"/>
      <c r="KN4" s="374"/>
      <c r="KO4" s="374"/>
      <c r="KP4" s="374"/>
      <c r="KQ4" s="374"/>
      <c r="KR4" s="374"/>
      <c r="KS4" s="374"/>
      <c r="KT4" s="374"/>
      <c r="KU4" s="374"/>
      <c r="KV4" s="374"/>
      <c r="KW4" s="374"/>
      <c r="KX4" s="374"/>
      <c r="KY4" s="374"/>
      <c r="KZ4" s="374"/>
      <c r="LA4" s="374"/>
      <c r="LB4" s="374"/>
      <c r="LC4" s="374"/>
      <c r="LD4" s="374"/>
      <c r="LE4" s="374"/>
      <c r="LF4" s="374"/>
      <c r="LG4" s="374"/>
      <c r="LH4" s="374"/>
      <c r="LI4" s="374"/>
      <c r="LJ4" s="374"/>
      <c r="LK4" s="374"/>
      <c r="LL4" s="374"/>
      <c r="LM4" s="374"/>
      <c r="LN4" s="374"/>
      <c r="LO4" s="374"/>
      <c r="LP4" s="374"/>
      <c r="LQ4" s="374"/>
    </row>
    <row r="5" spans="1:329" s="259" customFormat="1">
      <c r="A5" s="516"/>
      <c r="B5" s="716"/>
      <c r="C5" s="260"/>
      <c r="D5" s="265"/>
      <c r="E5" s="264" t="s">
        <v>463</v>
      </c>
      <c r="F5" s="261"/>
      <c r="G5" s="258"/>
      <c r="H5" s="254"/>
      <c r="I5" s="254"/>
      <c r="J5" s="254"/>
      <c r="K5" s="254" t="s">
        <v>233</v>
      </c>
      <c r="N5" s="374"/>
      <c r="O5" s="374"/>
      <c r="P5" s="374"/>
      <c r="Q5" s="374"/>
      <c r="R5" s="374"/>
      <c r="S5" s="374"/>
      <c r="T5" s="374"/>
      <c r="U5" s="374"/>
      <c r="V5" s="374"/>
      <c r="W5" s="374"/>
      <c r="X5" s="374"/>
      <c r="Y5" s="374"/>
      <c r="Z5" s="374"/>
      <c r="AA5" s="374"/>
      <c r="AB5" s="374"/>
      <c r="AC5" s="374"/>
      <c r="AD5" s="374"/>
      <c r="AE5" s="374"/>
      <c r="AF5" s="374"/>
      <c r="AG5" s="374"/>
      <c r="AH5" s="374"/>
      <c r="AI5" s="374"/>
      <c r="AJ5" s="374"/>
      <c r="AK5" s="374"/>
      <c r="AL5" s="374"/>
      <c r="AM5" s="374"/>
      <c r="AN5" s="374"/>
      <c r="AO5" s="374"/>
      <c r="AP5" s="374"/>
      <c r="AQ5" s="374"/>
      <c r="AR5" s="374"/>
      <c r="AS5" s="374"/>
      <c r="AT5" s="374"/>
      <c r="AU5" s="374"/>
      <c r="AV5" s="374"/>
      <c r="AW5" s="374"/>
      <c r="AX5" s="374"/>
      <c r="AY5" s="374"/>
      <c r="AZ5" s="374"/>
      <c r="BA5" s="374"/>
      <c r="BB5" s="374"/>
      <c r="BC5" s="374"/>
      <c r="BD5" s="374"/>
      <c r="BE5" s="374"/>
      <c r="BF5" s="374"/>
      <c r="BG5" s="374"/>
      <c r="BH5" s="374"/>
      <c r="BI5" s="374"/>
      <c r="BJ5" s="374"/>
      <c r="BK5" s="374"/>
      <c r="BL5" s="374"/>
      <c r="BM5" s="374"/>
      <c r="BN5" s="374"/>
      <c r="BO5" s="374"/>
      <c r="BP5" s="374"/>
      <c r="BQ5" s="374"/>
      <c r="BR5" s="374"/>
      <c r="BS5" s="374"/>
      <c r="BT5" s="374"/>
      <c r="BU5" s="374"/>
      <c r="BV5" s="374"/>
      <c r="BW5" s="374"/>
      <c r="BX5" s="374"/>
      <c r="BY5" s="374"/>
      <c r="BZ5" s="374"/>
      <c r="CA5" s="374"/>
      <c r="CB5" s="374"/>
      <c r="CC5" s="374"/>
      <c r="CD5" s="374"/>
      <c r="CE5" s="374"/>
      <c r="CF5" s="374"/>
      <c r="CG5" s="374"/>
      <c r="CH5" s="374"/>
      <c r="CI5" s="374"/>
      <c r="CJ5" s="374"/>
      <c r="CK5" s="374"/>
      <c r="CL5" s="374"/>
      <c r="CM5" s="374"/>
      <c r="CN5" s="374"/>
      <c r="CO5" s="374"/>
      <c r="CP5" s="374"/>
      <c r="CQ5" s="374"/>
      <c r="CR5" s="374"/>
      <c r="CS5" s="374"/>
      <c r="CT5" s="374"/>
      <c r="CU5" s="374"/>
      <c r="CV5" s="374"/>
      <c r="CW5" s="374"/>
      <c r="CX5" s="374"/>
      <c r="CY5" s="374"/>
      <c r="CZ5" s="374"/>
      <c r="DA5" s="374"/>
      <c r="DB5" s="374"/>
      <c r="DC5" s="374"/>
      <c r="DD5" s="374"/>
      <c r="DE5" s="374"/>
      <c r="DF5" s="374"/>
      <c r="DG5" s="374"/>
      <c r="DH5" s="374"/>
      <c r="DI5" s="374"/>
      <c r="DJ5" s="374"/>
      <c r="DK5" s="374"/>
      <c r="DL5" s="374"/>
      <c r="DM5" s="374"/>
      <c r="DN5" s="374"/>
      <c r="DO5" s="374"/>
      <c r="DP5" s="374"/>
      <c r="DQ5" s="374"/>
      <c r="DR5" s="374"/>
      <c r="DS5" s="374"/>
      <c r="DT5" s="374"/>
      <c r="DU5" s="374"/>
      <c r="DV5" s="374"/>
      <c r="DW5" s="374"/>
      <c r="DX5" s="374"/>
      <c r="DY5" s="374"/>
      <c r="DZ5" s="374"/>
      <c r="EA5" s="374"/>
      <c r="EB5" s="374"/>
      <c r="EC5" s="374"/>
      <c r="ED5" s="374"/>
      <c r="EE5" s="374"/>
      <c r="EF5" s="374"/>
      <c r="EG5" s="374"/>
      <c r="EH5" s="374"/>
      <c r="EI5" s="374"/>
      <c r="EJ5" s="374"/>
      <c r="EK5" s="374"/>
      <c r="EL5" s="374"/>
      <c r="EM5" s="374"/>
      <c r="EN5" s="374"/>
      <c r="EO5" s="374"/>
      <c r="EP5" s="374"/>
      <c r="EQ5" s="374"/>
      <c r="ER5" s="374"/>
      <c r="ES5" s="374"/>
      <c r="ET5" s="374"/>
      <c r="EU5" s="374"/>
      <c r="EV5" s="374"/>
      <c r="EW5" s="374"/>
      <c r="EX5" s="374"/>
      <c r="EY5" s="374"/>
      <c r="EZ5" s="374"/>
      <c r="FA5" s="374"/>
      <c r="FB5" s="374"/>
      <c r="FC5" s="374"/>
      <c r="FD5" s="374"/>
      <c r="FE5" s="374"/>
      <c r="FF5" s="374"/>
      <c r="FG5" s="374"/>
      <c r="FH5" s="374"/>
      <c r="FI5" s="374"/>
      <c r="FJ5" s="374"/>
      <c r="FK5" s="374"/>
      <c r="FL5" s="374"/>
      <c r="FM5" s="374"/>
      <c r="FN5" s="374"/>
      <c r="FO5" s="374"/>
      <c r="FP5" s="374"/>
      <c r="FQ5" s="374"/>
      <c r="FR5" s="374"/>
      <c r="FS5" s="374"/>
      <c r="FT5" s="374"/>
      <c r="FU5" s="374"/>
      <c r="FV5" s="374"/>
      <c r="FW5" s="374"/>
      <c r="FX5" s="374"/>
      <c r="FY5" s="374"/>
      <c r="FZ5" s="374"/>
      <c r="GA5" s="374"/>
      <c r="GB5" s="374"/>
      <c r="GC5" s="374"/>
      <c r="GD5" s="374"/>
      <c r="GE5" s="374"/>
      <c r="GF5" s="374"/>
      <c r="GG5" s="374"/>
      <c r="GH5" s="374"/>
      <c r="GI5" s="374"/>
      <c r="GJ5" s="374"/>
      <c r="GK5" s="374"/>
      <c r="GL5" s="374"/>
      <c r="GM5" s="374"/>
      <c r="GN5" s="374"/>
      <c r="GO5" s="374"/>
      <c r="GP5" s="374"/>
      <c r="GQ5" s="374"/>
      <c r="GR5" s="374"/>
      <c r="GS5" s="374"/>
      <c r="GT5" s="374"/>
      <c r="GU5" s="374"/>
      <c r="GV5" s="374"/>
      <c r="GW5" s="374"/>
      <c r="GX5" s="374"/>
      <c r="GY5" s="374"/>
      <c r="GZ5" s="374"/>
      <c r="HA5" s="374"/>
      <c r="HB5" s="374"/>
      <c r="HC5" s="374"/>
      <c r="HD5" s="374"/>
      <c r="HE5" s="374"/>
      <c r="HF5" s="374"/>
      <c r="HG5" s="374"/>
      <c r="HH5" s="374"/>
      <c r="HI5" s="374"/>
      <c r="HJ5" s="374"/>
      <c r="HK5" s="374"/>
      <c r="HL5" s="374"/>
      <c r="HM5" s="374"/>
      <c r="HN5" s="374"/>
      <c r="HO5" s="374"/>
      <c r="HP5" s="374"/>
      <c r="HQ5" s="374"/>
      <c r="HR5" s="374"/>
      <c r="HS5" s="374"/>
      <c r="HT5" s="374"/>
      <c r="HU5" s="374"/>
      <c r="HV5" s="374"/>
      <c r="HW5" s="374"/>
      <c r="HX5" s="374"/>
      <c r="HY5" s="374"/>
      <c r="HZ5" s="374"/>
      <c r="IA5" s="374"/>
      <c r="IB5" s="374"/>
      <c r="IC5" s="374"/>
      <c r="ID5" s="374"/>
      <c r="IE5" s="374"/>
      <c r="IF5" s="374"/>
      <c r="IG5" s="374"/>
      <c r="IH5" s="374"/>
      <c r="II5" s="374"/>
      <c r="IJ5" s="374"/>
      <c r="IK5" s="374"/>
      <c r="IL5" s="374"/>
      <c r="IM5" s="374"/>
      <c r="IN5" s="374"/>
      <c r="IO5" s="374"/>
      <c r="IP5" s="374"/>
      <c r="IQ5" s="374"/>
      <c r="IR5" s="374"/>
      <c r="IS5" s="374"/>
      <c r="IT5" s="374"/>
      <c r="IU5" s="374"/>
      <c r="IV5" s="374"/>
      <c r="IW5" s="374"/>
      <c r="IX5" s="374"/>
      <c r="IY5" s="374"/>
      <c r="IZ5" s="374"/>
      <c r="JA5" s="374"/>
      <c r="JB5" s="374"/>
      <c r="JC5" s="374"/>
      <c r="JD5" s="374"/>
      <c r="JE5" s="374"/>
      <c r="JF5" s="374"/>
      <c r="JG5" s="374"/>
      <c r="JH5" s="374"/>
      <c r="JI5" s="374"/>
      <c r="JJ5" s="374"/>
      <c r="JK5" s="374"/>
      <c r="JL5" s="374"/>
      <c r="JM5" s="374"/>
      <c r="JN5" s="374"/>
      <c r="JO5" s="374"/>
      <c r="JP5" s="374"/>
      <c r="JQ5" s="374"/>
      <c r="JR5" s="374"/>
      <c r="JS5" s="374"/>
      <c r="JT5" s="374"/>
      <c r="JU5" s="374"/>
      <c r="JV5" s="374"/>
      <c r="JW5" s="374"/>
      <c r="JX5" s="374"/>
      <c r="JY5" s="374"/>
      <c r="JZ5" s="374"/>
      <c r="KA5" s="374"/>
      <c r="KB5" s="374"/>
      <c r="KC5" s="374"/>
      <c r="KD5" s="374"/>
      <c r="KE5" s="374"/>
      <c r="KF5" s="374"/>
      <c r="KG5" s="374"/>
      <c r="KH5" s="374"/>
      <c r="KI5" s="374"/>
      <c r="KJ5" s="374"/>
      <c r="KK5" s="374"/>
      <c r="KL5" s="374"/>
      <c r="KM5" s="374"/>
      <c r="KN5" s="374"/>
      <c r="KO5" s="374"/>
      <c r="KP5" s="374"/>
      <c r="KQ5" s="374"/>
      <c r="KR5" s="374"/>
      <c r="KS5" s="374"/>
      <c r="KT5" s="374"/>
      <c r="KU5" s="374"/>
      <c r="KV5" s="374"/>
      <c r="KW5" s="374"/>
      <c r="KX5" s="374"/>
      <c r="KY5" s="374"/>
      <c r="KZ5" s="374"/>
      <c r="LA5" s="374"/>
      <c r="LB5" s="374"/>
      <c r="LC5" s="374"/>
      <c r="LD5" s="374"/>
      <c r="LE5" s="374"/>
      <c r="LF5" s="374"/>
      <c r="LG5" s="374"/>
      <c r="LH5" s="374"/>
      <c r="LI5" s="374"/>
      <c r="LJ5" s="374"/>
      <c r="LK5" s="374"/>
      <c r="LL5" s="374"/>
      <c r="LM5" s="374"/>
      <c r="LN5" s="374"/>
      <c r="LO5" s="374"/>
      <c r="LP5" s="374"/>
      <c r="LQ5" s="374"/>
    </row>
    <row r="6" spans="1:329" s="259" customFormat="1">
      <c r="A6" s="517"/>
      <c r="B6" s="717"/>
      <c r="C6" s="260"/>
      <c r="D6" s="482"/>
      <c r="E6" s="263" t="s">
        <v>238</v>
      </c>
      <c r="F6" s="261"/>
      <c r="G6" s="258"/>
      <c r="H6" s="254"/>
      <c r="I6" s="254"/>
      <c r="J6" s="254"/>
      <c r="K6" s="254" t="s">
        <v>233</v>
      </c>
      <c r="N6" s="374"/>
      <c r="O6" s="374"/>
      <c r="P6" s="374"/>
      <c r="Q6" s="374"/>
      <c r="R6" s="374"/>
      <c r="S6" s="374"/>
      <c r="T6" s="374"/>
      <c r="U6" s="374"/>
      <c r="V6" s="374"/>
      <c r="W6" s="374"/>
      <c r="X6" s="374"/>
      <c r="Y6" s="374"/>
      <c r="Z6" s="374"/>
      <c r="AA6" s="374"/>
      <c r="AB6" s="374"/>
      <c r="AC6" s="374"/>
      <c r="AD6" s="374"/>
      <c r="AE6" s="374"/>
      <c r="AF6" s="374"/>
      <c r="AG6" s="374"/>
      <c r="AH6" s="374"/>
      <c r="AI6" s="374"/>
      <c r="AJ6" s="374"/>
      <c r="AK6" s="374"/>
      <c r="AL6" s="374"/>
      <c r="AM6" s="374"/>
      <c r="AN6" s="374"/>
      <c r="AO6" s="374"/>
      <c r="AP6" s="374"/>
      <c r="AQ6" s="374"/>
      <c r="AR6" s="374"/>
      <c r="AS6" s="374"/>
      <c r="AT6" s="374"/>
      <c r="AU6" s="374"/>
      <c r="AV6" s="374"/>
      <c r="AW6" s="374"/>
      <c r="AX6" s="374"/>
      <c r="AY6" s="374"/>
      <c r="AZ6" s="374"/>
      <c r="BA6" s="374"/>
      <c r="BB6" s="374"/>
      <c r="BC6" s="374"/>
      <c r="BD6" s="374"/>
      <c r="BE6" s="374"/>
      <c r="BF6" s="374"/>
      <c r="BG6" s="374"/>
      <c r="BH6" s="374"/>
      <c r="BI6" s="374"/>
      <c r="BJ6" s="374"/>
      <c r="BK6" s="374"/>
      <c r="BL6" s="374"/>
      <c r="BM6" s="374"/>
      <c r="BN6" s="374"/>
      <c r="BO6" s="374"/>
      <c r="BP6" s="374"/>
      <c r="BQ6" s="374"/>
      <c r="BR6" s="374"/>
      <c r="BS6" s="374"/>
      <c r="BT6" s="374"/>
      <c r="BU6" s="374"/>
      <c r="BV6" s="374"/>
      <c r="BW6" s="374"/>
      <c r="BX6" s="374"/>
      <c r="BY6" s="374"/>
      <c r="BZ6" s="374"/>
      <c r="CA6" s="374"/>
      <c r="CB6" s="374"/>
      <c r="CC6" s="374"/>
      <c r="CD6" s="374"/>
      <c r="CE6" s="374"/>
      <c r="CF6" s="374"/>
      <c r="CG6" s="374"/>
      <c r="CH6" s="374"/>
      <c r="CI6" s="374"/>
      <c r="CJ6" s="374"/>
      <c r="CK6" s="374"/>
      <c r="CL6" s="374"/>
      <c r="CM6" s="374"/>
      <c r="CN6" s="374"/>
      <c r="CO6" s="374"/>
      <c r="CP6" s="374"/>
      <c r="CQ6" s="374"/>
      <c r="CR6" s="374"/>
      <c r="CS6" s="374"/>
      <c r="CT6" s="374"/>
      <c r="CU6" s="374"/>
      <c r="CV6" s="374"/>
      <c r="CW6" s="374"/>
      <c r="CX6" s="374"/>
      <c r="CY6" s="374"/>
      <c r="CZ6" s="374"/>
      <c r="DA6" s="374"/>
      <c r="DB6" s="374"/>
      <c r="DC6" s="374"/>
      <c r="DD6" s="374"/>
      <c r="DE6" s="374"/>
      <c r="DF6" s="374"/>
      <c r="DG6" s="374"/>
      <c r="DH6" s="374"/>
      <c r="DI6" s="374"/>
      <c r="DJ6" s="374"/>
      <c r="DK6" s="374"/>
      <c r="DL6" s="374"/>
      <c r="DM6" s="374"/>
      <c r="DN6" s="374"/>
      <c r="DO6" s="374"/>
      <c r="DP6" s="374"/>
      <c r="DQ6" s="374"/>
      <c r="DR6" s="374"/>
      <c r="DS6" s="374"/>
      <c r="DT6" s="374"/>
      <c r="DU6" s="374"/>
      <c r="DV6" s="374"/>
      <c r="DW6" s="374"/>
      <c r="DX6" s="374"/>
      <c r="DY6" s="374"/>
      <c r="DZ6" s="374"/>
      <c r="EA6" s="374"/>
      <c r="EB6" s="374"/>
      <c r="EC6" s="374"/>
      <c r="ED6" s="374"/>
      <c r="EE6" s="374"/>
      <c r="EF6" s="374"/>
      <c r="EG6" s="374"/>
      <c r="EH6" s="374"/>
      <c r="EI6" s="374"/>
      <c r="EJ6" s="374"/>
      <c r="EK6" s="374"/>
      <c r="EL6" s="374"/>
      <c r="EM6" s="374"/>
      <c r="EN6" s="374"/>
      <c r="EO6" s="374"/>
      <c r="EP6" s="374"/>
      <c r="EQ6" s="374"/>
      <c r="ER6" s="374"/>
      <c r="ES6" s="374"/>
      <c r="ET6" s="374"/>
      <c r="EU6" s="374"/>
      <c r="EV6" s="374"/>
      <c r="EW6" s="374"/>
      <c r="EX6" s="374"/>
      <c r="EY6" s="374"/>
      <c r="EZ6" s="374"/>
      <c r="FA6" s="374"/>
      <c r="FB6" s="374"/>
      <c r="FC6" s="374"/>
      <c r="FD6" s="374"/>
      <c r="FE6" s="374"/>
      <c r="FF6" s="374"/>
      <c r="FG6" s="374"/>
      <c r="FH6" s="374"/>
      <c r="FI6" s="374"/>
      <c r="FJ6" s="374"/>
      <c r="FK6" s="374"/>
      <c r="FL6" s="374"/>
      <c r="FM6" s="374"/>
      <c r="FN6" s="374"/>
      <c r="FO6" s="374"/>
      <c r="FP6" s="374"/>
      <c r="FQ6" s="374"/>
      <c r="FR6" s="374"/>
      <c r="FS6" s="374"/>
      <c r="FT6" s="374"/>
      <c r="FU6" s="374"/>
      <c r="FV6" s="374"/>
      <c r="FW6" s="374"/>
      <c r="FX6" s="374"/>
      <c r="FY6" s="374"/>
      <c r="FZ6" s="374"/>
      <c r="GA6" s="374"/>
      <c r="GB6" s="374"/>
      <c r="GC6" s="374"/>
      <c r="GD6" s="374"/>
      <c r="GE6" s="374"/>
      <c r="GF6" s="374"/>
      <c r="GG6" s="374"/>
      <c r="GH6" s="374"/>
      <c r="GI6" s="374"/>
      <c r="GJ6" s="374"/>
      <c r="GK6" s="374"/>
      <c r="GL6" s="374"/>
      <c r="GM6" s="374"/>
      <c r="GN6" s="374"/>
      <c r="GO6" s="374"/>
      <c r="GP6" s="374"/>
      <c r="GQ6" s="374"/>
      <c r="GR6" s="374"/>
      <c r="GS6" s="374"/>
      <c r="GT6" s="374"/>
      <c r="GU6" s="374"/>
      <c r="GV6" s="374"/>
      <c r="GW6" s="374"/>
      <c r="GX6" s="374"/>
      <c r="GY6" s="374"/>
      <c r="GZ6" s="374"/>
      <c r="HA6" s="374"/>
      <c r="HB6" s="374"/>
      <c r="HC6" s="374"/>
      <c r="HD6" s="374"/>
      <c r="HE6" s="374"/>
      <c r="HF6" s="374"/>
      <c r="HG6" s="374"/>
      <c r="HH6" s="374"/>
      <c r="HI6" s="374"/>
      <c r="HJ6" s="374"/>
      <c r="HK6" s="374"/>
      <c r="HL6" s="374"/>
      <c r="HM6" s="374"/>
      <c r="HN6" s="374"/>
      <c r="HO6" s="374"/>
      <c r="HP6" s="374"/>
      <c r="HQ6" s="374"/>
      <c r="HR6" s="374"/>
      <c r="HS6" s="374"/>
      <c r="HT6" s="374"/>
      <c r="HU6" s="374"/>
      <c r="HV6" s="374"/>
      <c r="HW6" s="374"/>
      <c r="HX6" s="374"/>
      <c r="HY6" s="374"/>
      <c r="HZ6" s="374"/>
      <c r="IA6" s="374"/>
      <c r="IB6" s="374"/>
      <c r="IC6" s="374"/>
      <c r="ID6" s="374"/>
      <c r="IE6" s="374"/>
      <c r="IF6" s="374"/>
      <c r="IG6" s="374"/>
      <c r="IH6" s="374"/>
      <c r="II6" s="374"/>
      <c r="IJ6" s="374"/>
      <c r="IK6" s="374"/>
      <c r="IL6" s="374"/>
      <c r="IM6" s="374"/>
      <c r="IN6" s="374"/>
      <c r="IO6" s="374"/>
      <c r="IP6" s="374"/>
      <c r="IQ6" s="374"/>
      <c r="IR6" s="374"/>
      <c r="IS6" s="374"/>
      <c r="IT6" s="374"/>
      <c r="IU6" s="374"/>
      <c r="IV6" s="374"/>
      <c r="IW6" s="374"/>
      <c r="IX6" s="374"/>
      <c r="IY6" s="374"/>
      <c r="IZ6" s="374"/>
      <c r="JA6" s="374"/>
      <c r="JB6" s="374"/>
      <c r="JC6" s="374"/>
      <c r="JD6" s="374"/>
      <c r="JE6" s="374"/>
      <c r="JF6" s="374"/>
      <c r="JG6" s="374"/>
      <c r="JH6" s="374"/>
      <c r="JI6" s="374"/>
      <c r="JJ6" s="374"/>
      <c r="JK6" s="374"/>
      <c r="JL6" s="374"/>
      <c r="JM6" s="374"/>
      <c r="JN6" s="374"/>
      <c r="JO6" s="374"/>
      <c r="JP6" s="374"/>
      <c r="JQ6" s="374"/>
      <c r="JR6" s="374"/>
      <c r="JS6" s="374"/>
      <c r="JT6" s="374"/>
      <c r="JU6" s="374"/>
      <c r="JV6" s="374"/>
      <c r="JW6" s="374"/>
      <c r="JX6" s="374"/>
      <c r="JY6" s="374"/>
      <c r="JZ6" s="374"/>
      <c r="KA6" s="374"/>
      <c r="KB6" s="374"/>
      <c r="KC6" s="374"/>
      <c r="KD6" s="374"/>
      <c r="KE6" s="374"/>
      <c r="KF6" s="374"/>
      <c r="KG6" s="374"/>
      <c r="KH6" s="374"/>
      <c r="KI6" s="374"/>
      <c r="KJ6" s="374"/>
      <c r="KK6" s="374"/>
      <c r="KL6" s="374"/>
      <c r="KM6" s="374"/>
      <c r="KN6" s="374"/>
      <c r="KO6" s="374"/>
      <c r="KP6" s="374"/>
      <c r="KQ6" s="374"/>
      <c r="KR6" s="374"/>
      <c r="KS6" s="374"/>
      <c r="KT6" s="374"/>
      <c r="KU6" s="374"/>
      <c r="KV6" s="374"/>
      <c r="KW6" s="374"/>
      <c r="KX6" s="374"/>
      <c r="KY6" s="374"/>
      <c r="KZ6" s="374"/>
      <c r="LA6" s="374"/>
      <c r="LB6" s="374"/>
      <c r="LC6" s="374"/>
      <c r="LD6" s="374"/>
      <c r="LE6" s="374"/>
      <c r="LF6" s="374"/>
      <c r="LG6" s="374"/>
      <c r="LH6" s="374"/>
      <c r="LI6" s="374"/>
      <c r="LJ6" s="374"/>
      <c r="LK6" s="374"/>
      <c r="LL6" s="374"/>
      <c r="LM6" s="374"/>
      <c r="LN6" s="374"/>
      <c r="LO6" s="374"/>
      <c r="LP6" s="374"/>
      <c r="LQ6" s="374"/>
    </row>
    <row r="7" spans="1:329" s="259" customFormat="1" ht="13.8" thickBot="1">
      <c r="A7" s="518"/>
      <c r="B7" s="718"/>
      <c r="C7" s="260"/>
      <c r="D7" s="265">
        <f>IF(D1="Yes",A156," ")</f>
        <v>21</v>
      </c>
      <c r="E7" s="264" t="s">
        <v>239</v>
      </c>
      <c r="F7" s="261"/>
      <c r="G7" s="258"/>
      <c r="H7" s="254"/>
      <c r="I7" s="254"/>
      <c r="J7" s="254"/>
      <c r="K7" s="254" t="s">
        <v>233</v>
      </c>
      <c r="N7" s="374"/>
      <c r="O7" s="374"/>
      <c r="P7" s="374"/>
      <c r="Q7" s="374"/>
      <c r="R7" s="374"/>
      <c r="S7" s="374"/>
      <c r="T7" s="374"/>
      <c r="U7" s="374"/>
      <c r="V7" s="374"/>
      <c r="W7" s="374"/>
      <c r="X7" s="374"/>
      <c r="Y7" s="374"/>
      <c r="Z7" s="374"/>
      <c r="AA7" s="374"/>
      <c r="AB7" s="374"/>
      <c r="AC7" s="374"/>
      <c r="AD7" s="374"/>
      <c r="AE7" s="374"/>
      <c r="AF7" s="374"/>
      <c r="AG7" s="374"/>
      <c r="AH7" s="374"/>
      <c r="AI7" s="374"/>
      <c r="AJ7" s="374"/>
      <c r="AK7" s="374"/>
      <c r="AL7" s="374"/>
      <c r="AM7" s="374"/>
      <c r="AN7" s="374"/>
      <c r="AO7" s="374"/>
      <c r="AP7" s="374"/>
      <c r="AQ7" s="374"/>
      <c r="AR7" s="374"/>
      <c r="AS7" s="374"/>
      <c r="AT7" s="374"/>
      <c r="AU7" s="374"/>
      <c r="AV7" s="374"/>
      <c r="AW7" s="374"/>
      <c r="AX7" s="374"/>
      <c r="AY7" s="374"/>
      <c r="AZ7" s="374"/>
      <c r="BA7" s="374"/>
      <c r="BB7" s="374"/>
      <c r="BC7" s="374"/>
      <c r="BD7" s="374"/>
      <c r="BE7" s="374"/>
      <c r="BF7" s="374"/>
      <c r="BG7" s="374"/>
      <c r="BH7" s="374"/>
      <c r="BI7" s="374"/>
      <c r="BJ7" s="374"/>
      <c r="BK7" s="374"/>
      <c r="BL7" s="374"/>
      <c r="BM7" s="374"/>
      <c r="BN7" s="374"/>
      <c r="BO7" s="374"/>
      <c r="BP7" s="374"/>
      <c r="BQ7" s="374"/>
      <c r="BR7" s="374"/>
      <c r="BS7" s="374"/>
      <c r="BT7" s="374"/>
      <c r="BU7" s="374"/>
      <c r="BV7" s="374"/>
      <c r="BW7" s="374"/>
      <c r="BX7" s="374"/>
      <c r="BY7" s="374"/>
      <c r="BZ7" s="374"/>
      <c r="CA7" s="374"/>
      <c r="CB7" s="374"/>
      <c r="CC7" s="374"/>
      <c r="CD7" s="374"/>
      <c r="CE7" s="374"/>
      <c r="CF7" s="374"/>
      <c r="CG7" s="374"/>
      <c r="CH7" s="374"/>
      <c r="CI7" s="374"/>
      <c r="CJ7" s="374"/>
      <c r="CK7" s="374"/>
      <c r="CL7" s="374"/>
      <c r="CM7" s="374"/>
      <c r="CN7" s="374"/>
      <c r="CO7" s="374"/>
      <c r="CP7" s="374"/>
      <c r="CQ7" s="374"/>
      <c r="CR7" s="374"/>
      <c r="CS7" s="374"/>
      <c r="CT7" s="374"/>
      <c r="CU7" s="374"/>
      <c r="CV7" s="374"/>
      <c r="CW7" s="374"/>
      <c r="CX7" s="374"/>
      <c r="CY7" s="374"/>
      <c r="CZ7" s="374"/>
      <c r="DA7" s="374"/>
      <c r="DB7" s="374"/>
      <c r="DC7" s="374"/>
      <c r="DD7" s="374"/>
      <c r="DE7" s="374"/>
      <c r="DF7" s="374"/>
      <c r="DG7" s="374"/>
      <c r="DH7" s="374"/>
      <c r="DI7" s="374"/>
      <c r="DJ7" s="374"/>
      <c r="DK7" s="374"/>
      <c r="DL7" s="374"/>
      <c r="DM7" s="374"/>
      <c r="DN7" s="374"/>
      <c r="DO7" s="374"/>
      <c r="DP7" s="374"/>
      <c r="DQ7" s="374"/>
      <c r="DR7" s="374"/>
      <c r="DS7" s="374"/>
      <c r="DT7" s="374"/>
      <c r="DU7" s="374"/>
      <c r="DV7" s="374"/>
      <c r="DW7" s="374"/>
      <c r="DX7" s="374"/>
      <c r="DY7" s="374"/>
      <c r="DZ7" s="374"/>
      <c r="EA7" s="374"/>
      <c r="EB7" s="374"/>
      <c r="EC7" s="374"/>
      <c r="ED7" s="374"/>
      <c r="EE7" s="374"/>
      <c r="EF7" s="374"/>
      <c r="EG7" s="374"/>
      <c r="EH7" s="374"/>
      <c r="EI7" s="374"/>
      <c r="EJ7" s="374"/>
      <c r="EK7" s="374"/>
      <c r="EL7" s="374"/>
      <c r="EM7" s="374"/>
      <c r="EN7" s="374"/>
      <c r="EO7" s="374"/>
      <c r="EP7" s="374"/>
      <c r="EQ7" s="374"/>
      <c r="ER7" s="374"/>
      <c r="ES7" s="374"/>
      <c r="ET7" s="374"/>
      <c r="EU7" s="374"/>
      <c r="EV7" s="374"/>
      <c r="EW7" s="374"/>
      <c r="EX7" s="374"/>
      <c r="EY7" s="374"/>
      <c r="EZ7" s="374"/>
      <c r="FA7" s="374"/>
      <c r="FB7" s="374"/>
      <c r="FC7" s="374"/>
      <c r="FD7" s="374"/>
      <c r="FE7" s="374"/>
      <c r="FF7" s="374"/>
      <c r="FG7" s="374"/>
      <c r="FH7" s="374"/>
      <c r="FI7" s="374"/>
      <c r="FJ7" s="374"/>
      <c r="FK7" s="374"/>
      <c r="FL7" s="374"/>
      <c r="FM7" s="374"/>
      <c r="FN7" s="374"/>
      <c r="FO7" s="374"/>
      <c r="FP7" s="374"/>
      <c r="FQ7" s="374"/>
      <c r="FR7" s="374"/>
      <c r="FS7" s="374"/>
      <c r="FT7" s="374"/>
      <c r="FU7" s="374"/>
      <c r="FV7" s="374"/>
      <c r="FW7" s="374"/>
      <c r="FX7" s="374"/>
      <c r="FY7" s="374"/>
      <c r="FZ7" s="374"/>
      <c r="GA7" s="374"/>
      <c r="GB7" s="374"/>
      <c r="GC7" s="374"/>
      <c r="GD7" s="374"/>
      <c r="GE7" s="374"/>
      <c r="GF7" s="374"/>
      <c r="GG7" s="374"/>
      <c r="GH7" s="374"/>
      <c r="GI7" s="374"/>
      <c r="GJ7" s="374"/>
      <c r="GK7" s="374"/>
      <c r="GL7" s="374"/>
      <c r="GM7" s="374"/>
      <c r="GN7" s="374"/>
      <c r="GO7" s="374"/>
      <c r="GP7" s="374"/>
      <c r="GQ7" s="374"/>
      <c r="GR7" s="374"/>
      <c r="GS7" s="374"/>
      <c r="GT7" s="374"/>
      <c r="GU7" s="374"/>
      <c r="GV7" s="374"/>
      <c r="GW7" s="374"/>
      <c r="GX7" s="374"/>
      <c r="GY7" s="374"/>
      <c r="GZ7" s="374"/>
      <c r="HA7" s="374"/>
      <c r="HB7" s="374"/>
      <c r="HC7" s="374"/>
      <c r="HD7" s="374"/>
      <c r="HE7" s="374"/>
      <c r="HF7" s="374"/>
      <c r="HG7" s="374"/>
      <c r="HH7" s="374"/>
      <c r="HI7" s="374"/>
      <c r="HJ7" s="374"/>
      <c r="HK7" s="374"/>
      <c r="HL7" s="374"/>
      <c r="HM7" s="374"/>
      <c r="HN7" s="374"/>
      <c r="HO7" s="374"/>
      <c r="HP7" s="374"/>
      <c r="HQ7" s="374"/>
      <c r="HR7" s="374"/>
      <c r="HS7" s="374"/>
      <c r="HT7" s="374"/>
      <c r="HU7" s="374"/>
      <c r="HV7" s="374"/>
      <c r="HW7" s="374"/>
      <c r="HX7" s="374"/>
      <c r="HY7" s="374"/>
      <c r="HZ7" s="374"/>
      <c r="IA7" s="374"/>
      <c r="IB7" s="374"/>
      <c r="IC7" s="374"/>
      <c r="ID7" s="374"/>
      <c r="IE7" s="374"/>
      <c r="IF7" s="374"/>
      <c r="IG7" s="374"/>
      <c r="IH7" s="374"/>
      <c r="II7" s="374"/>
      <c r="IJ7" s="374"/>
      <c r="IK7" s="374"/>
      <c r="IL7" s="374"/>
      <c r="IM7" s="374"/>
      <c r="IN7" s="374"/>
      <c r="IO7" s="374"/>
      <c r="IP7" s="374"/>
      <c r="IQ7" s="374"/>
      <c r="IR7" s="374"/>
      <c r="IS7" s="374"/>
      <c r="IT7" s="374"/>
      <c r="IU7" s="374"/>
      <c r="IV7" s="374"/>
      <c r="IW7" s="374"/>
      <c r="IX7" s="374"/>
      <c r="IY7" s="374"/>
      <c r="IZ7" s="374"/>
      <c r="JA7" s="374"/>
      <c r="JB7" s="374"/>
      <c r="JC7" s="374"/>
      <c r="JD7" s="374"/>
      <c r="JE7" s="374"/>
      <c r="JF7" s="374"/>
      <c r="JG7" s="374"/>
      <c r="JH7" s="374"/>
      <c r="JI7" s="374"/>
      <c r="JJ7" s="374"/>
      <c r="JK7" s="374"/>
      <c r="JL7" s="374"/>
      <c r="JM7" s="374"/>
      <c r="JN7" s="374"/>
      <c r="JO7" s="374"/>
      <c r="JP7" s="374"/>
      <c r="JQ7" s="374"/>
      <c r="JR7" s="374"/>
      <c r="JS7" s="374"/>
      <c r="JT7" s="374"/>
      <c r="JU7" s="374"/>
      <c r="JV7" s="374"/>
      <c r="JW7" s="374"/>
      <c r="JX7" s="374"/>
      <c r="JY7" s="374"/>
      <c r="JZ7" s="374"/>
      <c r="KA7" s="374"/>
      <c r="KB7" s="374"/>
      <c r="KC7" s="374"/>
      <c r="KD7" s="374"/>
      <c r="KE7" s="374"/>
      <c r="KF7" s="374"/>
      <c r="KG7" s="374"/>
      <c r="KH7" s="374"/>
      <c r="KI7" s="374"/>
      <c r="KJ7" s="374"/>
      <c r="KK7" s="374"/>
      <c r="KL7" s="374"/>
      <c r="KM7" s="374"/>
      <c r="KN7" s="374"/>
      <c r="KO7" s="374"/>
      <c r="KP7" s="374"/>
      <c r="KQ7" s="374"/>
      <c r="KR7" s="374"/>
      <c r="KS7" s="374"/>
      <c r="KT7" s="374"/>
      <c r="KU7" s="374"/>
      <c r="KV7" s="374"/>
      <c r="KW7" s="374"/>
      <c r="KX7" s="374"/>
      <c r="KY7" s="374"/>
      <c r="KZ7" s="374"/>
      <c r="LA7" s="374"/>
      <c r="LB7" s="374"/>
      <c r="LC7" s="374"/>
      <c r="LD7" s="374"/>
      <c r="LE7" s="374"/>
      <c r="LF7" s="374"/>
      <c r="LG7" s="374"/>
      <c r="LH7" s="374"/>
      <c r="LI7" s="374"/>
      <c r="LJ7" s="374"/>
      <c r="LK7" s="374"/>
      <c r="LL7" s="374"/>
      <c r="LM7" s="374"/>
      <c r="LN7" s="374"/>
      <c r="LO7" s="374"/>
      <c r="LP7" s="374"/>
      <c r="LQ7" s="374"/>
    </row>
    <row r="8" spans="1:329" s="259" customFormat="1" ht="13.8" thickBot="1">
      <c r="A8" s="518"/>
      <c r="B8" s="260"/>
      <c r="C8" s="260"/>
      <c r="D8" s="483"/>
      <c r="E8" s="263"/>
      <c r="F8" s="261"/>
      <c r="G8" s="266"/>
      <c r="H8" s="262"/>
      <c r="I8" s="262"/>
      <c r="J8" s="262"/>
      <c r="K8" s="262"/>
      <c r="N8" s="374"/>
      <c r="O8" s="374"/>
      <c r="P8" s="374"/>
      <c r="Q8" s="374"/>
      <c r="R8" s="374"/>
      <c r="S8" s="374"/>
      <c r="T8" s="374"/>
      <c r="U8" s="374"/>
      <c r="V8" s="374"/>
      <c r="W8" s="374"/>
      <c r="X8" s="374"/>
      <c r="Y8" s="374"/>
      <c r="Z8" s="374"/>
      <c r="AA8" s="374"/>
      <c r="AB8" s="374"/>
      <c r="AC8" s="374"/>
      <c r="AD8" s="374"/>
      <c r="AE8" s="374"/>
      <c r="AF8" s="374"/>
      <c r="AG8" s="374"/>
      <c r="AH8" s="374"/>
      <c r="AI8" s="374"/>
      <c r="AJ8" s="374"/>
      <c r="AK8" s="374"/>
      <c r="AL8" s="374"/>
      <c r="AM8" s="374"/>
      <c r="AN8" s="374"/>
      <c r="AO8" s="374"/>
      <c r="AP8" s="374"/>
      <c r="AQ8" s="374"/>
      <c r="AR8" s="374"/>
      <c r="AS8" s="374"/>
      <c r="AT8" s="374"/>
      <c r="AU8" s="374"/>
      <c r="AV8" s="374"/>
      <c r="AW8" s="374"/>
      <c r="AX8" s="374"/>
      <c r="AY8" s="374"/>
      <c r="AZ8" s="374"/>
      <c r="BA8" s="374"/>
      <c r="BB8" s="374"/>
      <c r="BC8" s="374"/>
      <c r="BD8" s="374"/>
      <c r="BE8" s="374"/>
      <c r="BF8" s="374"/>
      <c r="BG8" s="374"/>
      <c r="BH8" s="374"/>
      <c r="BI8" s="374"/>
      <c r="BJ8" s="374"/>
      <c r="BK8" s="374"/>
      <c r="BL8" s="374"/>
      <c r="BM8" s="374"/>
      <c r="BN8" s="374"/>
      <c r="BO8" s="374"/>
      <c r="BP8" s="374"/>
      <c r="BQ8" s="374"/>
      <c r="BR8" s="374"/>
      <c r="BS8" s="374"/>
      <c r="BT8" s="374"/>
      <c r="BU8" s="374"/>
      <c r="BV8" s="374"/>
      <c r="BW8" s="374"/>
      <c r="BX8" s="374"/>
      <c r="BY8" s="374"/>
      <c r="BZ8" s="374"/>
      <c r="CA8" s="374"/>
      <c r="CB8" s="374"/>
      <c r="CC8" s="374"/>
      <c r="CD8" s="374"/>
      <c r="CE8" s="374"/>
      <c r="CF8" s="374"/>
      <c r="CG8" s="374"/>
      <c r="CH8" s="374"/>
      <c r="CI8" s="374"/>
      <c r="CJ8" s="374"/>
      <c r="CK8" s="374"/>
      <c r="CL8" s="374"/>
      <c r="CM8" s="374"/>
      <c r="CN8" s="374"/>
      <c r="CO8" s="374"/>
      <c r="CP8" s="374"/>
      <c r="CQ8" s="374"/>
      <c r="CR8" s="374"/>
      <c r="CS8" s="374"/>
      <c r="CT8" s="374"/>
      <c r="CU8" s="374"/>
      <c r="CV8" s="374"/>
      <c r="CW8" s="374"/>
      <c r="CX8" s="374"/>
      <c r="CY8" s="374"/>
      <c r="CZ8" s="374"/>
      <c r="DA8" s="374"/>
      <c r="DB8" s="374"/>
      <c r="DC8" s="374"/>
      <c r="DD8" s="374"/>
      <c r="DE8" s="374"/>
      <c r="DF8" s="374"/>
      <c r="DG8" s="374"/>
      <c r="DH8" s="374"/>
      <c r="DI8" s="374"/>
      <c r="DJ8" s="374"/>
      <c r="DK8" s="374"/>
      <c r="DL8" s="374"/>
      <c r="DM8" s="374"/>
      <c r="DN8" s="374"/>
      <c r="DO8" s="374"/>
      <c r="DP8" s="374"/>
      <c r="DQ8" s="374"/>
      <c r="DR8" s="374"/>
      <c r="DS8" s="374"/>
      <c r="DT8" s="374"/>
      <c r="DU8" s="374"/>
      <c r="DV8" s="374"/>
      <c r="DW8" s="374"/>
      <c r="DX8" s="374"/>
      <c r="DY8" s="374"/>
      <c r="DZ8" s="374"/>
      <c r="EA8" s="374"/>
      <c r="EB8" s="374"/>
      <c r="EC8" s="374"/>
      <c r="ED8" s="374"/>
      <c r="EE8" s="374"/>
      <c r="EF8" s="374"/>
      <c r="EG8" s="374"/>
      <c r="EH8" s="374"/>
      <c r="EI8" s="374"/>
      <c r="EJ8" s="374"/>
      <c r="EK8" s="374"/>
      <c r="EL8" s="374"/>
      <c r="EM8" s="374"/>
      <c r="EN8" s="374"/>
      <c r="EO8" s="374"/>
      <c r="EP8" s="374"/>
      <c r="EQ8" s="374"/>
      <c r="ER8" s="374"/>
      <c r="ES8" s="374"/>
      <c r="ET8" s="374"/>
      <c r="EU8" s="374"/>
      <c r="EV8" s="374"/>
      <c r="EW8" s="374"/>
      <c r="EX8" s="374"/>
      <c r="EY8" s="374"/>
      <c r="EZ8" s="374"/>
      <c r="FA8" s="374"/>
      <c r="FB8" s="374"/>
      <c r="FC8" s="374"/>
      <c r="FD8" s="374"/>
      <c r="FE8" s="374"/>
      <c r="FF8" s="374"/>
      <c r="FG8" s="374"/>
      <c r="FH8" s="374"/>
      <c r="FI8" s="374"/>
      <c r="FJ8" s="374"/>
      <c r="FK8" s="374"/>
      <c r="FL8" s="374"/>
      <c r="FM8" s="374"/>
      <c r="FN8" s="374"/>
      <c r="FO8" s="374"/>
      <c r="FP8" s="374"/>
      <c r="FQ8" s="374"/>
      <c r="FR8" s="374"/>
      <c r="FS8" s="374"/>
      <c r="FT8" s="374"/>
      <c r="FU8" s="374"/>
      <c r="FV8" s="374"/>
      <c r="FW8" s="374"/>
      <c r="FX8" s="374"/>
      <c r="FY8" s="374"/>
      <c r="FZ8" s="374"/>
      <c r="GA8" s="374"/>
      <c r="GB8" s="374"/>
      <c r="GC8" s="374"/>
      <c r="GD8" s="374"/>
      <c r="GE8" s="374"/>
      <c r="GF8" s="374"/>
      <c r="GG8" s="374"/>
      <c r="GH8" s="374"/>
      <c r="GI8" s="374"/>
      <c r="GJ8" s="374"/>
      <c r="GK8" s="374"/>
      <c r="GL8" s="374"/>
      <c r="GM8" s="374"/>
      <c r="GN8" s="374"/>
      <c r="GO8" s="374"/>
      <c r="GP8" s="374"/>
      <c r="GQ8" s="374"/>
      <c r="GR8" s="374"/>
      <c r="GS8" s="374"/>
      <c r="GT8" s="374"/>
      <c r="GU8" s="374"/>
      <c r="GV8" s="374"/>
      <c r="GW8" s="374"/>
      <c r="GX8" s="374"/>
      <c r="GY8" s="374"/>
      <c r="GZ8" s="374"/>
      <c r="HA8" s="374"/>
      <c r="HB8" s="374"/>
      <c r="HC8" s="374"/>
      <c r="HD8" s="374"/>
      <c r="HE8" s="374"/>
      <c r="HF8" s="374"/>
      <c r="HG8" s="374"/>
      <c r="HH8" s="374"/>
      <c r="HI8" s="374"/>
      <c r="HJ8" s="374"/>
      <c r="HK8" s="374"/>
      <c r="HL8" s="374"/>
      <c r="HM8" s="374"/>
      <c r="HN8" s="374"/>
      <c r="HO8" s="374"/>
      <c r="HP8" s="374"/>
      <c r="HQ8" s="374"/>
      <c r="HR8" s="374"/>
      <c r="HS8" s="374"/>
      <c r="HT8" s="374"/>
      <c r="HU8" s="374"/>
      <c r="HV8" s="374"/>
      <c r="HW8" s="374"/>
      <c r="HX8" s="374"/>
      <c r="HY8" s="374"/>
      <c r="HZ8" s="374"/>
      <c r="IA8" s="374"/>
      <c r="IB8" s="374"/>
      <c r="IC8" s="374"/>
      <c r="ID8" s="374"/>
      <c r="IE8" s="374"/>
      <c r="IF8" s="374"/>
      <c r="IG8" s="374"/>
      <c r="IH8" s="374"/>
      <c r="II8" s="374"/>
      <c r="IJ8" s="374"/>
      <c r="IK8" s="374"/>
      <c r="IL8" s="374"/>
      <c r="IM8" s="374"/>
      <c r="IN8" s="374"/>
      <c r="IO8" s="374"/>
      <c r="IP8" s="374"/>
      <c r="IQ8" s="374"/>
      <c r="IR8" s="374"/>
      <c r="IS8" s="374"/>
      <c r="IT8" s="374"/>
      <c r="IU8" s="374"/>
      <c r="IV8" s="374"/>
      <c r="IW8" s="374"/>
      <c r="IX8" s="374"/>
      <c r="IY8" s="374"/>
      <c r="IZ8" s="374"/>
      <c r="JA8" s="374"/>
      <c r="JB8" s="374"/>
      <c r="JC8" s="374"/>
      <c r="JD8" s="374"/>
      <c r="JE8" s="374"/>
      <c r="JF8" s="374"/>
      <c r="JG8" s="374"/>
      <c r="JH8" s="374"/>
      <c r="JI8" s="374"/>
      <c r="JJ8" s="374"/>
      <c r="JK8" s="374"/>
      <c r="JL8" s="374"/>
      <c r="JM8" s="374"/>
      <c r="JN8" s="374"/>
      <c r="JO8" s="374"/>
      <c r="JP8" s="374"/>
      <c r="JQ8" s="374"/>
      <c r="JR8" s="374"/>
      <c r="JS8" s="374"/>
      <c r="JT8" s="374"/>
      <c r="JU8" s="374"/>
      <c r="JV8" s="374"/>
      <c r="JW8" s="374"/>
      <c r="JX8" s="374"/>
      <c r="JY8" s="374"/>
      <c r="JZ8" s="374"/>
      <c r="KA8" s="374"/>
      <c r="KB8" s="374"/>
      <c r="KC8" s="374"/>
      <c r="KD8" s="374"/>
      <c r="KE8" s="374"/>
      <c r="KF8" s="374"/>
      <c r="KG8" s="374"/>
      <c r="KH8" s="374"/>
      <c r="KI8" s="374"/>
      <c r="KJ8" s="374"/>
      <c r="KK8" s="374"/>
      <c r="KL8" s="374"/>
      <c r="KM8" s="374"/>
      <c r="KN8" s="374"/>
      <c r="KO8" s="374"/>
      <c r="KP8" s="374"/>
      <c r="KQ8" s="374"/>
      <c r="KR8" s="374"/>
      <c r="KS8" s="374"/>
      <c r="KT8" s="374"/>
      <c r="KU8" s="374"/>
      <c r="KV8" s="374"/>
      <c r="KW8" s="374"/>
      <c r="KX8" s="374"/>
      <c r="KY8" s="374"/>
      <c r="KZ8" s="374"/>
      <c r="LA8" s="374"/>
      <c r="LB8" s="374"/>
      <c r="LC8" s="374"/>
      <c r="LD8" s="374"/>
      <c r="LE8" s="374"/>
      <c r="LF8" s="374"/>
      <c r="LG8" s="374"/>
      <c r="LH8" s="374"/>
      <c r="LI8" s="374"/>
      <c r="LJ8" s="374"/>
      <c r="LK8" s="374"/>
      <c r="LL8" s="374"/>
      <c r="LM8" s="374"/>
      <c r="LN8" s="374"/>
      <c r="LO8" s="374"/>
      <c r="LP8" s="374"/>
      <c r="LQ8" s="374"/>
    </row>
    <row r="9" spans="1:329" s="139" customFormat="1" ht="13.8" thickBot="1">
      <c r="A9" s="519" t="s">
        <v>471</v>
      </c>
      <c r="B9" s="230"/>
      <c r="C9" s="230"/>
      <c r="D9" s="484"/>
      <c r="E9" s="230"/>
      <c r="F9" s="231"/>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237"/>
      <c r="AO9" s="237"/>
      <c r="AP9" s="237"/>
      <c r="AQ9" s="237"/>
      <c r="AR9" s="237"/>
      <c r="AS9" s="237"/>
      <c r="AT9" s="237"/>
      <c r="AU9" s="237"/>
      <c r="AV9" s="237"/>
      <c r="AW9" s="237"/>
      <c r="AX9" s="237"/>
      <c r="AY9" s="237"/>
      <c r="AZ9" s="237"/>
      <c r="BA9" s="237"/>
      <c r="BB9" s="237"/>
      <c r="BC9" s="237"/>
      <c r="BD9" s="237"/>
      <c r="BE9" s="237"/>
      <c r="BF9" s="237"/>
      <c r="BG9" s="237"/>
      <c r="BH9" s="237"/>
      <c r="BI9" s="237"/>
      <c r="BJ9" s="237"/>
      <c r="BK9" s="237"/>
      <c r="BL9" s="237"/>
      <c r="BM9" s="237"/>
      <c r="BN9" s="237"/>
      <c r="BO9" s="237"/>
      <c r="BP9" s="237"/>
      <c r="BQ9" s="237"/>
      <c r="BR9" s="237"/>
      <c r="BS9" s="237"/>
      <c r="BT9" s="237"/>
      <c r="BU9" s="237"/>
      <c r="BV9" s="237"/>
      <c r="BW9" s="237"/>
      <c r="BX9" s="237"/>
      <c r="BY9" s="237"/>
      <c r="BZ9" s="237"/>
      <c r="CA9" s="237"/>
      <c r="CB9" s="237"/>
      <c r="CC9" s="237"/>
      <c r="CD9" s="237"/>
      <c r="CE9" s="237"/>
      <c r="CF9" s="237"/>
      <c r="CG9" s="237"/>
      <c r="CH9" s="237"/>
      <c r="CI9" s="237"/>
      <c r="CJ9" s="237"/>
      <c r="CK9" s="237"/>
      <c r="CL9" s="237"/>
      <c r="CM9" s="237"/>
      <c r="CN9" s="237"/>
      <c r="CO9" s="237"/>
      <c r="CP9" s="237"/>
      <c r="CQ9" s="237"/>
      <c r="CR9" s="237"/>
      <c r="CS9" s="237"/>
      <c r="CT9" s="237"/>
      <c r="CU9" s="237"/>
      <c r="CV9" s="237"/>
      <c r="CW9" s="237"/>
      <c r="CX9" s="237"/>
      <c r="CY9" s="237"/>
      <c r="CZ9" s="237"/>
      <c r="DA9" s="237"/>
      <c r="DB9" s="237"/>
      <c r="DC9" s="237"/>
      <c r="DD9" s="237"/>
      <c r="DE9" s="237"/>
      <c r="DF9" s="237"/>
      <c r="DG9" s="237"/>
      <c r="DH9" s="237"/>
      <c r="DI9" s="237"/>
      <c r="DJ9" s="237"/>
      <c r="DK9" s="237"/>
      <c r="DL9" s="237"/>
      <c r="DM9" s="237"/>
      <c r="DN9" s="237"/>
      <c r="DO9" s="237"/>
      <c r="DP9" s="237"/>
      <c r="DQ9" s="237"/>
      <c r="DR9" s="237"/>
      <c r="DS9" s="237"/>
      <c r="DT9" s="237"/>
      <c r="DU9" s="237"/>
      <c r="DV9" s="237"/>
      <c r="DW9" s="237"/>
      <c r="DX9" s="237"/>
      <c r="DY9" s="237"/>
      <c r="DZ9" s="237"/>
      <c r="EA9" s="237"/>
      <c r="EB9" s="237"/>
      <c r="EC9" s="237"/>
      <c r="ED9" s="237"/>
      <c r="EE9" s="237"/>
      <c r="EF9" s="237"/>
      <c r="EG9" s="237"/>
      <c r="EH9" s="237"/>
      <c r="EI9" s="237"/>
      <c r="EJ9" s="237"/>
      <c r="EK9" s="237"/>
      <c r="EL9" s="237"/>
      <c r="EM9" s="237"/>
      <c r="EN9" s="237"/>
      <c r="EO9" s="237"/>
      <c r="EP9" s="237"/>
      <c r="EQ9" s="237"/>
      <c r="ER9" s="237"/>
      <c r="ES9" s="237"/>
      <c r="ET9" s="237"/>
      <c r="EU9" s="237"/>
      <c r="EV9" s="237"/>
      <c r="EW9" s="237"/>
      <c r="EX9" s="237"/>
      <c r="EY9" s="237"/>
      <c r="EZ9" s="237"/>
      <c r="FA9" s="237"/>
      <c r="FB9" s="237"/>
      <c r="FC9" s="237"/>
      <c r="FD9" s="237"/>
      <c r="FE9" s="237"/>
      <c r="FF9" s="237"/>
      <c r="FG9" s="237"/>
      <c r="FH9" s="237"/>
      <c r="FI9" s="237"/>
      <c r="FJ9" s="237"/>
      <c r="FK9" s="237"/>
      <c r="FL9" s="237"/>
      <c r="FM9" s="237"/>
      <c r="FN9" s="237"/>
      <c r="FO9" s="237"/>
      <c r="FP9" s="237"/>
      <c r="FQ9" s="237"/>
      <c r="FR9" s="237"/>
      <c r="FS9" s="237"/>
      <c r="FT9" s="237"/>
      <c r="FU9" s="237"/>
      <c r="FV9" s="237"/>
      <c r="FW9" s="237"/>
      <c r="FX9" s="237"/>
      <c r="FY9" s="237"/>
      <c r="FZ9" s="237"/>
      <c r="GA9" s="237"/>
      <c r="GB9" s="237"/>
      <c r="GC9" s="237"/>
      <c r="GD9" s="237"/>
      <c r="GE9" s="237"/>
      <c r="GF9" s="237"/>
      <c r="GG9" s="237"/>
      <c r="GH9" s="237"/>
      <c r="GI9" s="237"/>
      <c r="GJ9" s="237"/>
      <c r="GK9" s="237"/>
      <c r="GL9" s="237"/>
      <c r="GM9" s="237"/>
      <c r="GN9" s="237"/>
      <c r="GO9" s="237"/>
      <c r="GP9" s="237"/>
      <c r="GQ9" s="237"/>
      <c r="GR9" s="237"/>
      <c r="GS9" s="237"/>
      <c r="GT9" s="237"/>
      <c r="GU9" s="237"/>
      <c r="GV9" s="237"/>
      <c r="GW9" s="237"/>
      <c r="GX9" s="237"/>
      <c r="GY9" s="237"/>
      <c r="GZ9" s="237"/>
      <c r="HA9" s="237"/>
      <c r="HB9" s="237"/>
      <c r="HC9" s="237"/>
      <c r="HD9" s="237"/>
      <c r="HE9" s="237"/>
      <c r="HF9" s="237"/>
      <c r="HG9" s="237"/>
      <c r="HH9" s="237"/>
      <c r="HI9" s="237"/>
      <c r="HJ9" s="237"/>
      <c r="HK9" s="237"/>
      <c r="HL9" s="237"/>
      <c r="HM9" s="237"/>
      <c r="HN9" s="237"/>
      <c r="HO9" s="237"/>
      <c r="HP9" s="237"/>
      <c r="HQ9" s="237"/>
      <c r="HR9" s="237"/>
      <c r="HS9" s="237"/>
      <c r="HT9" s="237"/>
      <c r="HU9" s="237"/>
      <c r="HV9" s="237"/>
      <c r="HW9" s="237"/>
      <c r="HX9" s="237"/>
      <c r="HY9" s="237"/>
      <c r="HZ9" s="237"/>
      <c r="IA9" s="237"/>
      <c r="IB9" s="237"/>
      <c r="IC9" s="237"/>
      <c r="ID9" s="237"/>
      <c r="IE9" s="237"/>
      <c r="IF9" s="237"/>
      <c r="IG9" s="237"/>
      <c r="IH9" s="237"/>
      <c r="II9" s="237"/>
      <c r="IJ9" s="237"/>
      <c r="IK9" s="237"/>
      <c r="IL9" s="237"/>
      <c r="IM9" s="237"/>
      <c r="IN9" s="237"/>
      <c r="IO9" s="237"/>
      <c r="IP9" s="237"/>
      <c r="IQ9" s="237"/>
      <c r="IR9" s="237"/>
      <c r="IS9" s="237"/>
      <c r="IT9" s="237"/>
      <c r="IU9" s="237"/>
      <c r="IV9" s="237"/>
      <c r="IW9" s="237"/>
      <c r="IX9" s="237"/>
      <c r="IY9" s="237"/>
      <c r="IZ9" s="237"/>
      <c r="JA9" s="237"/>
      <c r="JB9" s="237"/>
      <c r="JC9" s="237"/>
      <c r="JD9" s="237"/>
      <c r="JE9" s="237"/>
      <c r="JF9" s="237"/>
      <c r="JG9" s="237"/>
      <c r="JH9" s="237"/>
      <c r="JI9" s="237"/>
      <c r="JJ9" s="237"/>
      <c r="JK9" s="237"/>
      <c r="JL9" s="237"/>
      <c r="JM9" s="237"/>
      <c r="JN9" s="237"/>
      <c r="JO9" s="237"/>
      <c r="JP9" s="237"/>
      <c r="JQ9" s="237"/>
      <c r="JR9" s="237"/>
      <c r="JS9" s="237"/>
      <c r="JT9" s="237"/>
      <c r="JU9" s="237"/>
      <c r="JV9" s="237"/>
      <c r="JW9" s="237"/>
      <c r="JX9" s="237"/>
      <c r="JY9" s="237"/>
      <c r="JZ9" s="237"/>
      <c r="KA9" s="237"/>
      <c r="KB9" s="237"/>
      <c r="KC9" s="237"/>
      <c r="KD9" s="237"/>
      <c r="KE9" s="237"/>
      <c r="KF9" s="237"/>
      <c r="KG9" s="237"/>
      <c r="KH9" s="237"/>
      <c r="KI9" s="237"/>
      <c r="KJ9" s="237"/>
      <c r="KK9" s="237"/>
      <c r="KL9" s="237"/>
      <c r="KM9" s="237"/>
      <c r="KN9" s="237"/>
      <c r="KO9" s="237"/>
      <c r="KP9" s="237"/>
      <c r="KQ9" s="237"/>
      <c r="KR9" s="237"/>
      <c r="KS9" s="237"/>
      <c r="KT9" s="237"/>
      <c r="KU9" s="237"/>
      <c r="KV9" s="237"/>
      <c r="KW9" s="237"/>
      <c r="KX9" s="237"/>
      <c r="KY9" s="237"/>
      <c r="KZ9" s="237"/>
      <c r="LA9" s="237"/>
      <c r="LB9" s="237"/>
      <c r="LC9" s="237"/>
      <c r="LD9" s="237"/>
      <c r="LE9" s="237"/>
      <c r="LF9" s="237"/>
      <c r="LG9" s="237"/>
      <c r="LH9" s="237"/>
      <c r="LI9" s="237"/>
      <c r="LJ9" s="237"/>
      <c r="LK9" s="237"/>
      <c r="LL9" s="237"/>
      <c r="LM9" s="237"/>
      <c r="LN9" s="237"/>
      <c r="LO9" s="237"/>
      <c r="LP9" s="237"/>
      <c r="LQ9" s="237"/>
    </row>
    <row r="10" spans="1:329" s="139" customFormat="1">
      <c r="A10" s="792" t="s">
        <v>515</v>
      </c>
      <c r="B10" s="793"/>
      <c r="C10" s="794"/>
      <c r="D10" s="485" t="s">
        <v>467</v>
      </c>
      <c r="E10" s="244"/>
      <c r="F10" s="140"/>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237"/>
      <c r="AK10" s="237"/>
      <c r="AL10" s="237"/>
      <c r="AM10" s="237"/>
      <c r="AN10" s="237"/>
      <c r="AO10" s="237"/>
      <c r="AP10" s="237"/>
      <c r="AQ10" s="237"/>
      <c r="AR10" s="237"/>
      <c r="AS10" s="237"/>
      <c r="AT10" s="237"/>
      <c r="AU10" s="237"/>
      <c r="AV10" s="237"/>
      <c r="AW10" s="237"/>
      <c r="AX10" s="237"/>
      <c r="AY10" s="237"/>
      <c r="AZ10" s="237"/>
      <c r="BA10" s="237"/>
      <c r="BB10" s="237"/>
      <c r="BC10" s="237"/>
      <c r="BD10" s="237"/>
      <c r="BE10" s="237"/>
      <c r="BF10" s="237"/>
      <c r="BG10" s="237"/>
      <c r="BH10" s="237"/>
      <c r="BI10" s="237"/>
      <c r="BJ10" s="237"/>
      <c r="BK10" s="237"/>
      <c r="BL10" s="237"/>
      <c r="BM10" s="237"/>
      <c r="BN10" s="237"/>
      <c r="BO10" s="237"/>
      <c r="BP10" s="237"/>
      <c r="BQ10" s="237"/>
      <c r="BR10" s="237"/>
      <c r="BS10" s="237"/>
      <c r="BT10" s="237"/>
      <c r="BU10" s="237"/>
      <c r="BV10" s="237"/>
      <c r="BW10" s="237"/>
      <c r="BX10" s="237"/>
      <c r="BY10" s="237"/>
      <c r="BZ10" s="237"/>
      <c r="CA10" s="237"/>
      <c r="CB10" s="237"/>
      <c r="CC10" s="237"/>
      <c r="CD10" s="237"/>
      <c r="CE10" s="237"/>
      <c r="CF10" s="237"/>
      <c r="CG10" s="237"/>
      <c r="CH10" s="237"/>
      <c r="CI10" s="237"/>
      <c r="CJ10" s="237"/>
      <c r="CK10" s="237"/>
      <c r="CL10" s="237"/>
      <c r="CM10" s="237"/>
      <c r="CN10" s="237"/>
      <c r="CO10" s="237"/>
      <c r="CP10" s="237"/>
      <c r="CQ10" s="237"/>
      <c r="CR10" s="237"/>
      <c r="CS10" s="237"/>
      <c r="CT10" s="237"/>
      <c r="CU10" s="237"/>
      <c r="CV10" s="237"/>
      <c r="CW10" s="237"/>
      <c r="CX10" s="237"/>
      <c r="CY10" s="237"/>
      <c r="CZ10" s="237"/>
      <c r="DA10" s="237"/>
      <c r="DB10" s="237"/>
      <c r="DC10" s="237"/>
      <c r="DD10" s="237"/>
      <c r="DE10" s="237"/>
      <c r="DF10" s="237"/>
      <c r="DG10" s="237"/>
      <c r="DH10" s="237"/>
      <c r="DI10" s="237"/>
      <c r="DJ10" s="237"/>
      <c r="DK10" s="237"/>
      <c r="DL10" s="237"/>
      <c r="DM10" s="237"/>
      <c r="DN10" s="237"/>
      <c r="DO10" s="237"/>
      <c r="DP10" s="237"/>
      <c r="DQ10" s="237"/>
      <c r="DR10" s="237"/>
      <c r="DS10" s="237"/>
      <c r="DT10" s="237"/>
      <c r="DU10" s="237"/>
      <c r="DV10" s="237"/>
      <c r="DW10" s="237"/>
      <c r="DX10" s="237"/>
      <c r="DY10" s="237"/>
      <c r="DZ10" s="237"/>
      <c r="EA10" s="237"/>
      <c r="EB10" s="237"/>
      <c r="EC10" s="237"/>
      <c r="ED10" s="237"/>
      <c r="EE10" s="237"/>
      <c r="EF10" s="237"/>
      <c r="EG10" s="237"/>
      <c r="EH10" s="237"/>
      <c r="EI10" s="237"/>
      <c r="EJ10" s="237"/>
      <c r="EK10" s="237"/>
      <c r="EL10" s="237"/>
      <c r="EM10" s="237"/>
      <c r="EN10" s="237"/>
      <c r="EO10" s="237"/>
      <c r="EP10" s="237"/>
      <c r="EQ10" s="237"/>
      <c r="ER10" s="237"/>
      <c r="ES10" s="237"/>
      <c r="ET10" s="237"/>
      <c r="EU10" s="237"/>
      <c r="EV10" s="237"/>
      <c r="EW10" s="237"/>
      <c r="EX10" s="237"/>
      <c r="EY10" s="237"/>
      <c r="EZ10" s="237"/>
      <c r="FA10" s="237"/>
      <c r="FB10" s="237"/>
      <c r="FC10" s="237"/>
      <c r="FD10" s="237"/>
      <c r="FE10" s="237"/>
      <c r="FF10" s="237"/>
      <c r="FG10" s="237"/>
      <c r="FH10" s="237"/>
      <c r="FI10" s="237"/>
      <c r="FJ10" s="237"/>
      <c r="FK10" s="237"/>
      <c r="FL10" s="237"/>
      <c r="FM10" s="237"/>
      <c r="FN10" s="237"/>
      <c r="FO10" s="237"/>
      <c r="FP10" s="237"/>
      <c r="FQ10" s="237"/>
      <c r="FR10" s="237"/>
      <c r="FS10" s="237"/>
      <c r="FT10" s="237"/>
      <c r="FU10" s="237"/>
      <c r="FV10" s="237"/>
      <c r="FW10" s="237"/>
      <c r="FX10" s="237"/>
      <c r="FY10" s="237"/>
      <c r="FZ10" s="237"/>
      <c r="GA10" s="237"/>
      <c r="GB10" s="237"/>
      <c r="GC10" s="237"/>
      <c r="GD10" s="237"/>
      <c r="GE10" s="237"/>
      <c r="GF10" s="237"/>
      <c r="GG10" s="237"/>
      <c r="GH10" s="237"/>
      <c r="GI10" s="237"/>
      <c r="GJ10" s="237"/>
      <c r="GK10" s="237"/>
      <c r="GL10" s="237"/>
      <c r="GM10" s="237"/>
      <c r="GN10" s="237"/>
      <c r="GO10" s="237"/>
      <c r="GP10" s="237"/>
      <c r="GQ10" s="237"/>
      <c r="GR10" s="237"/>
      <c r="GS10" s="237"/>
      <c r="GT10" s="237"/>
      <c r="GU10" s="237"/>
      <c r="GV10" s="237"/>
      <c r="GW10" s="237"/>
      <c r="GX10" s="237"/>
      <c r="GY10" s="237"/>
      <c r="GZ10" s="237"/>
      <c r="HA10" s="237"/>
      <c r="HB10" s="237"/>
      <c r="HC10" s="237"/>
      <c r="HD10" s="237"/>
      <c r="HE10" s="237"/>
      <c r="HF10" s="237"/>
      <c r="HG10" s="237"/>
      <c r="HH10" s="237"/>
      <c r="HI10" s="237"/>
      <c r="HJ10" s="237"/>
      <c r="HK10" s="237"/>
      <c r="HL10" s="237"/>
      <c r="HM10" s="237"/>
      <c r="HN10" s="237"/>
      <c r="HO10" s="237"/>
      <c r="HP10" s="237"/>
      <c r="HQ10" s="237"/>
      <c r="HR10" s="237"/>
      <c r="HS10" s="237"/>
      <c r="HT10" s="237"/>
      <c r="HU10" s="237"/>
      <c r="HV10" s="237"/>
      <c r="HW10" s="237"/>
      <c r="HX10" s="237"/>
      <c r="HY10" s="237"/>
      <c r="HZ10" s="237"/>
      <c r="IA10" s="237"/>
      <c r="IB10" s="237"/>
      <c r="IC10" s="237"/>
      <c r="ID10" s="237"/>
      <c r="IE10" s="237"/>
      <c r="IF10" s="237"/>
      <c r="IG10" s="237"/>
      <c r="IH10" s="237"/>
      <c r="II10" s="237"/>
      <c r="IJ10" s="237"/>
      <c r="IK10" s="237"/>
      <c r="IL10" s="237"/>
      <c r="IM10" s="237"/>
      <c r="IN10" s="237"/>
      <c r="IO10" s="237"/>
      <c r="IP10" s="237"/>
      <c r="IQ10" s="237"/>
      <c r="IR10" s="237"/>
      <c r="IS10" s="237"/>
      <c r="IT10" s="237"/>
      <c r="IU10" s="237"/>
      <c r="IV10" s="237"/>
      <c r="IW10" s="237"/>
      <c r="IX10" s="237"/>
      <c r="IY10" s="237"/>
      <c r="IZ10" s="237"/>
      <c r="JA10" s="237"/>
      <c r="JB10" s="237"/>
      <c r="JC10" s="237"/>
      <c r="JD10" s="237"/>
      <c r="JE10" s="237"/>
      <c r="JF10" s="237"/>
      <c r="JG10" s="237"/>
      <c r="JH10" s="237"/>
      <c r="JI10" s="237"/>
      <c r="JJ10" s="237"/>
      <c r="JK10" s="237"/>
      <c r="JL10" s="237"/>
      <c r="JM10" s="237"/>
      <c r="JN10" s="237"/>
      <c r="JO10" s="237"/>
      <c r="JP10" s="237"/>
      <c r="JQ10" s="237"/>
      <c r="JR10" s="237"/>
      <c r="JS10" s="237"/>
      <c r="JT10" s="237"/>
      <c r="JU10" s="237"/>
      <c r="JV10" s="237"/>
      <c r="JW10" s="237"/>
      <c r="JX10" s="237"/>
      <c r="JY10" s="237"/>
      <c r="JZ10" s="237"/>
      <c r="KA10" s="237"/>
      <c r="KB10" s="237"/>
      <c r="KC10" s="237"/>
      <c r="KD10" s="237"/>
      <c r="KE10" s="237"/>
      <c r="KF10" s="237"/>
      <c r="KG10" s="237"/>
      <c r="KH10" s="237"/>
      <c r="KI10" s="237"/>
      <c r="KJ10" s="237"/>
      <c r="KK10" s="237"/>
      <c r="KL10" s="237"/>
      <c r="KM10" s="237"/>
      <c r="KN10" s="237"/>
      <c r="KO10" s="237"/>
      <c r="KP10" s="237"/>
      <c r="KQ10" s="237"/>
      <c r="KR10" s="237"/>
      <c r="KS10" s="237"/>
      <c r="KT10" s="237"/>
      <c r="KU10" s="237"/>
      <c r="KV10" s="237"/>
      <c r="KW10" s="237"/>
      <c r="KX10" s="237"/>
      <c r="KY10" s="237"/>
      <c r="KZ10" s="237"/>
      <c r="LA10" s="237"/>
      <c r="LB10" s="237"/>
      <c r="LC10" s="237"/>
      <c r="LD10" s="237"/>
      <c r="LE10" s="237"/>
      <c r="LF10" s="237"/>
      <c r="LG10" s="237"/>
      <c r="LH10" s="237"/>
      <c r="LI10" s="237"/>
      <c r="LJ10" s="237"/>
      <c r="LK10" s="237"/>
      <c r="LL10" s="237"/>
      <c r="LM10" s="237"/>
      <c r="LN10" s="237"/>
      <c r="LO10" s="237"/>
      <c r="LP10" s="237"/>
      <c r="LQ10" s="237"/>
    </row>
    <row r="11" spans="1:329" s="139" customFormat="1">
      <c r="A11" s="798" t="s">
        <v>466</v>
      </c>
      <c r="B11" s="799"/>
      <c r="C11" s="239"/>
      <c r="D11" s="486" t="s">
        <v>469</v>
      </c>
      <c r="E11" s="170"/>
      <c r="F11" s="140"/>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37"/>
      <c r="AY11" s="237"/>
      <c r="AZ11" s="237"/>
      <c r="BA11" s="237"/>
      <c r="BB11" s="237"/>
      <c r="BC11" s="237"/>
      <c r="BD11" s="237"/>
      <c r="BE11" s="237"/>
      <c r="BF11" s="237"/>
      <c r="BG11" s="237"/>
      <c r="BH11" s="237"/>
      <c r="BI11" s="237"/>
      <c r="BJ11" s="237"/>
      <c r="BK11" s="237"/>
      <c r="BL11" s="237"/>
      <c r="BM11" s="237"/>
      <c r="BN11" s="237"/>
      <c r="BO11" s="237"/>
      <c r="BP11" s="237"/>
      <c r="BQ11" s="237"/>
      <c r="BR11" s="237"/>
      <c r="BS11" s="237"/>
      <c r="BT11" s="237"/>
      <c r="BU11" s="237"/>
      <c r="BV11" s="237"/>
      <c r="BW11" s="237"/>
      <c r="BX11" s="237"/>
      <c r="BY11" s="237"/>
      <c r="BZ11" s="237"/>
      <c r="CA11" s="237"/>
      <c r="CB11" s="237"/>
      <c r="CC11" s="237"/>
      <c r="CD11" s="237"/>
      <c r="CE11" s="237"/>
      <c r="CF11" s="237"/>
      <c r="CG11" s="237"/>
      <c r="CH11" s="237"/>
      <c r="CI11" s="237"/>
      <c r="CJ11" s="237"/>
      <c r="CK11" s="237"/>
      <c r="CL11" s="237"/>
      <c r="CM11" s="237"/>
      <c r="CN11" s="237"/>
      <c r="CO11" s="237"/>
      <c r="CP11" s="237"/>
      <c r="CQ11" s="237"/>
      <c r="CR11" s="237"/>
      <c r="CS11" s="237"/>
      <c r="CT11" s="237"/>
      <c r="CU11" s="237"/>
      <c r="CV11" s="237"/>
      <c r="CW11" s="237"/>
      <c r="CX11" s="237"/>
      <c r="CY11" s="237"/>
      <c r="CZ11" s="237"/>
      <c r="DA11" s="237"/>
      <c r="DB11" s="237"/>
      <c r="DC11" s="237"/>
      <c r="DD11" s="237"/>
      <c r="DE11" s="237"/>
      <c r="DF11" s="237"/>
      <c r="DG11" s="237"/>
      <c r="DH11" s="237"/>
      <c r="DI11" s="237"/>
      <c r="DJ11" s="237"/>
      <c r="DK11" s="237"/>
      <c r="DL11" s="237"/>
      <c r="DM11" s="237"/>
      <c r="DN11" s="237"/>
      <c r="DO11" s="237"/>
      <c r="DP11" s="237"/>
      <c r="DQ11" s="237"/>
      <c r="DR11" s="237"/>
      <c r="DS11" s="237"/>
      <c r="DT11" s="237"/>
      <c r="DU11" s="237"/>
      <c r="DV11" s="237"/>
      <c r="DW11" s="237"/>
      <c r="DX11" s="237"/>
      <c r="DY11" s="237"/>
      <c r="DZ11" s="237"/>
      <c r="EA11" s="237"/>
      <c r="EB11" s="237"/>
      <c r="EC11" s="237"/>
      <c r="ED11" s="237"/>
      <c r="EE11" s="237"/>
      <c r="EF11" s="237"/>
      <c r="EG11" s="237"/>
      <c r="EH11" s="237"/>
      <c r="EI11" s="237"/>
      <c r="EJ11" s="237"/>
      <c r="EK11" s="237"/>
      <c r="EL11" s="237"/>
      <c r="EM11" s="237"/>
      <c r="EN11" s="237"/>
      <c r="EO11" s="237"/>
      <c r="EP11" s="237"/>
      <c r="EQ11" s="237"/>
      <c r="ER11" s="237"/>
      <c r="ES11" s="237"/>
      <c r="ET11" s="237"/>
      <c r="EU11" s="237"/>
      <c r="EV11" s="237"/>
      <c r="EW11" s="237"/>
      <c r="EX11" s="237"/>
      <c r="EY11" s="237"/>
      <c r="EZ11" s="237"/>
      <c r="FA11" s="237"/>
      <c r="FB11" s="237"/>
      <c r="FC11" s="237"/>
      <c r="FD11" s="237"/>
      <c r="FE11" s="237"/>
      <c r="FF11" s="237"/>
      <c r="FG11" s="237"/>
      <c r="FH11" s="237"/>
      <c r="FI11" s="237"/>
      <c r="FJ11" s="237"/>
      <c r="FK11" s="237"/>
      <c r="FL11" s="237"/>
      <c r="FM11" s="237"/>
      <c r="FN11" s="237"/>
      <c r="FO11" s="237"/>
      <c r="FP11" s="237"/>
      <c r="FQ11" s="237"/>
      <c r="FR11" s="237"/>
      <c r="FS11" s="237"/>
      <c r="FT11" s="237"/>
      <c r="FU11" s="237"/>
      <c r="FV11" s="237"/>
      <c r="FW11" s="237"/>
      <c r="FX11" s="237"/>
      <c r="FY11" s="237"/>
      <c r="FZ11" s="237"/>
      <c r="GA11" s="237"/>
      <c r="GB11" s="237"/>
      <c r="GC11" s="237"/>
      <c r="GD11" s="237"/>
      <c r="GE11" s="237"/>
      <c r="GF11" s="237"/>
      <c r="GG11" s="237"/>
      <c r="GH11" s="237"/>
      <c r="GI11" s="237"/>
      <c r="GJ11" s="237"/>
      <c r="GK11" s="237"/>
      <c r="GL11" s="237"/>
      <c r="GM11" s="237"/>
      <c r="GN11" s="237"/>
      <c r="GO11" s="237"/>
      <c r="GP11" s="237"/>
      <c r="GQ11" s="237"/>
      <c r="GR11" s="237"/>
      <c r="GS11" s="237"/>
      <c r="GT11" s="237"/>
      <c r="GU11" s="237"/>
      <c r="GV11" s="237"/>
      <c r="GW11" s="237"/>
      <c r="GX11" s="237"/>
      <c r="GY11" s="237"/>
      <c r="GZ11" s="237"/>
      <c r="HA11" s="237"/>
      <c r="HB11" s="237"/>
      <c r="HC11" s="237"/>
      <c r="HD11" s="237"/>
      <c r="HE11" s="237"/>
      <c r="HF11" s="237"/>
      <c r="HG11" s="237"/>
      <c r="HH11" s="237"/>
      <c r="HI11" s="237"/>
      <c r="HJ11" s="237"/>
      <c r="HK11" s="237"/>
      <c r="HL11" s="237"/>
      <c r="HM11" s="237"/>
      <c r="HN11" s="237"/>
      <c r="HO11" s="237"/>
      <c r="HP11" s="237"/>
      <c r="HQ11" s="237"/>
      <c r="HR11" s="237"/>
      <c r="HS11" s="237"/>
      <c r="HT11" s="237"/>
      <c r="HU11" s="237"/>
      <c r="HV11" s="237"/>
      <c r="HW11" s="237"/>
      <c r="HX11" s="237"/>
      <c r="HY11" s="237"/>
      <c r="HZ11" s="237"/>
      <c r="IA11" s="237"/>
      <c r="IB11" s="237"/>
      <c r="IC11" s="237"/>
      <c r="ID11" s="237"/>
      <c r="IE11" s="237"/>
      <c r="IF11" s="237"/>
      <c r="IG11" s="237"/>
      <c r="IH11" s="237"/>
      <c r="II11" s="237"/>
      <c r="IJ11" s="237"/>
      <c r="IK11" s="237"/>
      <c r="IL11" s="237"/>
      <c r="IM11" s="237"/>
      <c r="IN11" s="237"/>
      <c r="IO11" s="237"/>
      <c r="IP11" s="237"/>
      <c r="IQ11" s="237"/>
      <c r="IR11" s="237"/>
      <c r="IS11" s="237"/>
      <c r="IT11" s="237"/>
      <c r="IU11" s="237"/>
      <c r="IV11" s="237"/>
      <c r="IW11" s="237"/>
      <c r="IX11" s="237"/>
      <c r="IY11" s="237"/>
      <c r="IZ11" s="237"/>
      <c r="JA11" s="237"/>
      <c r="JB11" s="237"/>
      <c r="JC11" s="237"/>
      <c r="JD11" s="237"/>
      <c r="JE11" s="237"/>
      <c r="JF11" s="237"/>
      <c r="JG11" s="237"/>
      <c r="JH11" s="237"/>
      <c r="JI11" s="237"/>
      <c r="JJ11" s="237"/>
      <c r="JK11" s="237"/>
      <c r="JL11" s="237"/>
      <c r="JM11" s="237"/>
      <c r="JN11" s="237"/>
      <c r="JO11" s="237"/>
      <c r="JP11" s="237"/>
      <c r="JQ11" s="237"/>
      <c r="JR11" s="237"/>
      <c r="JS11" s="237"/>
      <c r="JT11" s="237"/>
      <c r="JU11" s="237"/>
      <c r="JV11" s="237"/>
      <c r="JW11" s="237"/>
      <c r="JX11" s="237"/>
      <c r="JY11" s="237"/>
      <c r="JZ11" s="237"/>
      <c r="KA11" s="237"/>
      <c r="KB11" s="237"/>
      <c r="KC11" s="237"/>
      <c r="KD11" s="237"/>
      <c r="KE11" s="237"/>
      <c r="KF11" s="237"/>
      <c r="KG11" s="237"/>
      <c r="KH11" s="237"/>
      <c r="KI11" s="237"/>
      <c r="KJ11" s="237"/>
      <c r="KK11" s="237"/>
      <c r="KL11" s="237"/>
      <c r="KM11" s="237"/>
      <c r="KN11" s="237"/>
      <c r="KO11" s="237"/>
      <c r="KP11" s="237"/>
      <c r="KQ11" s="237"/>
      <c r="KR11" s="237"/>
      <c r="KS11" s="237"/>
      <c r="KT11" s="237"/>
      <c r="KU11" s="237"/>
      <c r="KV11" s="237"/>
      <c r="KW11" s="237"/>
      <c r="KX11" s="237"/>
      <c r="KY11" s="237"/>
      <c r="KZ11" s="237"/>
      <c r="LA11" s="237"/>
      <c r="LB11" s="237"/>
      <c r="LC11" s="237"/>
      <c r="LD11" s="237"/>
      <c r="LE11" s="237"/>
      <c r="LF11" s="237"/>
      <c r="LG11" s="237"/>
      <c r="LH11" s="237"/>
      <c r="LI11" s="237"/>
      <c r="LJ11" s="237"/>
      <c r="LK11" s="237"/>
      <c r="LL11" s="237"/>
      <c r="LM11" s="237"/>
      <c r="LN11" s="237"/>
      <c r="LO11" s="237"/>
      <c r="LP11" s="237"/>
      <c r="LQ11" s="237"/>
    </row>
    <row r="12" spans="1:329" s="139" customFormat="1">
      <c r="A12" s="520" t="s">
        <v>240</v>
      </c>
      <c r="B12" s="236"/>
      <c r="C12" s="240"/>
      <c r="D12" s="487" t="s">
        <v>470</v>
      </c>
      <c r="E12" s="237"/>
      <c r="F12" s="140"/>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237"/>
      <c r="BF12" s="237"/>
      <c r="BG12" s="237"/>
      <c r="BH12" s="237"/>
      <c r="BI12" s="237"/>
      <c r="BJ12" s="237"/>
      <c r="BK12" s="237"/>
      <c r="BL12" s="237"/>
      <c r="BM12" s="237"/>
      <c r="BN12" s="237"/>
      <c r="BO12" s="237"/>
      <c r="BP12" s="237"/>
      <c r="BQ12" s="237"/>
      <c r="BR12" s="237"/>
      <c r="BS12" s="237"/>
      <c r="BT12" s="237"/>
      <c r="BU12" s="237"/>
      <c r="BV12" s="237"/>
      <c r="BW12" s="237"/>
      <c r="BX12" s="237"/>
      <c r="BY12" s="237"/>
      <c r="BZ12" s="237"/>
      <c r="CA12" s="237"/>
      <c r="CB12" s="237"/>
      <c r="CC12" s="237"/>
      <c r="CD12" s="237"/>
      <c r="CE12" s="237"/>
      <c r="CF12" s="237"/>
      <c r="CG12" s="237"/>
      <c r="CH12" s="237"/>
      <c r="CI12" s="237"/>
      <c r="CJ12" s="237"/>
      <c r="CK12" s="237"/>
      <c r="CL12" s="237"/>
      <c r="CM12" s="237"/>
      <c r="CN12" s="237"/>
      <c r="CO12" s="237"/>
      <c r="CP12" s="237"/>
      <c r="CQ12" s="237"/>
      <c r="CR12" s="237"/>
      <c r="CS12" s="237"/>
      <c r="CT12" s="237"/>
      <c r="CU12" s="237"/>
      <c r="CV12" s="237"/>
      <c r="CW12" s="237"/>
      <c r="CX12" s="237"/>
      <c r="CY12" s="237"/>
      <c r="CZ12" s="237"/>
      <c r="DA12" s="237"/>
      <c r="DB12" s="237"/>
      <c r="DC12" s="237"/>
      <c r="DD12" s="237"/>
      <c r="DE12" s="237"/>
      <c r="DF12" s="237"/>
      <c r="DG12" s="237"/>
      <c r="DH12" s="237"/>
      <c r="DI12" s="237"/>
      <c r="DJ12" s="237"/>
      <c r="DK12" s="237"/>
      <c r="DL12" s="237"/>
      <c r="DM12" s="237"/>
      <c r="DN12" s="237"/>
      <c r="DO12" s="237"/>
      <c r="DP12" s="237"/>
      <c r="DQ12" s="237"/>
      <c r="DR12" s="237"/>
      <c r="DS12" s="237"/>
      <c r="DT12" s="237"/>
      <c r="DU12" s="237"/>
      <c r="DV12" s="237"/>
      <c r="DW12" s="237"/>
      <c r="DX12" s="237"/>
      <c r="DY12" s="237"/>
      <c r="DZ12" s="237"/>
      <c r="EA12" s="237"/>
      <c r="EB12" s="237"/>
      <c r="EC12" s="237"/>
      <c r="ED12" s="237"/>
      <c r="EE12" s="237"/>
      <c r="EF12" s="237"/>
      <c r="EG12" s="237"/>
      <c r="EH12" s="237"/>
      <c r="EI12" s="237"/>
      <c r="EJ12" s="237"/>
      <c r="EK12" s="237"/>
      <c r="EL12" s="237"/>
      <c r="EM12" s="237"/>
      <c r="EN12" s="237"/>
      <c r="EO12" s="237"/>
      <c r="EP12" s="237"/>
      <c r="EQ12" s="237"/>
      <c r="ER12" s="237"/>
      <c r="ES12" s="237"/>
      <c r="ET12" s="237"/>
      <c r="EU12" s="237"/>
      <c r="EV12" s="237"/>
      <c r="EW12" s="237"/>
      <c r="EX12" s="237"/>
      <c r="EY12" s="237"/>
      <c r="EZ12" s="237"/>
      <c r="FA12" s="237"/>
      <c r="FB12" s="237"/>
      <c r="FC12" s="237"/>
      <c r="FD12" s="237"/>
      <c r="FE12" s="237"/>
      <c r="FF12" s="237"/>
      <c r="FG12" s="237"/>
      <c r="FH12" s="237"/>
      <c r="FI12" s="237"/>
      <c r="FJ12" s="237"/>
      <c r="FK12" s="237"/>
      <c r="FL12" s="237"/>
      <c r="FM12" s="237"/>
      <c r="FN12" s="237"/>
      <c r="FO12" s="237"/>
      <c r="FP12" s="237"/>
      <c r="FQ12" s="237"/>
      <c r="FR12" s="237"/>
      <c r="FS12" s="237"/>
      <c r="FT12" s="237"/>
      <c r="FU12" s="237"/>
      <c r="FV12" s="237"/>
      <c r="FW12" s="237"/>
      <c r="FX12" s="237"/>
      <c r="FY12" s="237"/>
      <c r="FZ12" s="237"/>
      <c r="GA12" s="237"/>
      <c r="GB12" s="237"/>
      <c r="GC12" s="237"/>
      <c r="GD12" s="237"/>
      <c r="GE12" s="237"/>
      <c r="GF12" s="237"/>
      <c r="GG12" s="237"/>
      <c r="GH12" s="237"/>
      <c r="GI12" s="237"/>
      <c r="GJ12" s="237"/>
      <c r="GK12" s="237"/>
      <c r="GL12" s="237"/>
      <c r="GM12" s="237"/>
      <c r="GN12" s="237"/>
      <c r="GO12" s="237"/>
      <c r="GP12" s="237"/>
      <c r="GQ12" s="237"/>
      <c r="GR12" s="237"/>
      <c r="GS12" s="237"/>
      <c r="GT12" s="237"/>
      <c r="GU12" s="237"/>
      <c r="GV12" s="237"/>
      <c r="GW12" s="237"/>
      <c r="GX12" s="237"/>
      <c r="GY12" s="237"/>
      <c r="GZ12" s="237"/>
      <c r="HA12" s="237"/>
      <c r="HB12" s="237"/>
      <c r="HC12" s="237"/>
      <c r="HD12" s="237"/>
      <c r="HE12" s="237"/>
      <c r="HF12" s="237"/>
      <c r="HG12" s="237"/>
      <c r="HH12" s="237"/>
      <c r="HI12" s="237"/>
      <c r="HJ12" s="237"/>
      <c r="HK12" s="237"/>
      <c r="HL12" s="237"/>
      <c r="HM12" s="237"/>
      <c r="HN12" s="237"/>
      <c r="HO12" s="237"/>
      <c r="HP12" s="237"/>
      <c r="HQ12" s="237"/>
      <c r="HR12" s="237"/>
      <c r="HS12" s="237"/>
      <c r="HT12" s="237"/>
      <c r="HU12" s="237"/>
      <c r="HV12" s="237"/>
      <c r="HW12" s="237"/>
      <c r="HX12" s="237"/>
      <c r="HY12" s="237"/>
      <c r="HZ12" s="237"/>
      <c r="IA12" s="237"/>
      <c r="IB12" s="237"/>
      <c r="IC12" s="237"/>
      <c r="ID12" s="237"/>
      <c r="IE12" s="237"/>
      <c r="IF12" s="237"/>
      <c r="IG12" s="237"/>
      <c r="IH12" s="237"/>
      <c r="II12" s="237"/>
      <c r="IJ12" s="237"/>
      <c r="IK12" s="237"/>
      <c r="IL12" s="237"/>
      <c r="IM12" s="237"/>
      <c r="IN12" s="237"/>
      <c r="IO12" s="237"/>
      <c r="IP12" s="237"/>
      <c r="IQ12" s="237"/>
      <c r="IR12" s="237"/>
      <c r="IS12" s="237"/>
      <c r="IT12" s="237"/>
      <c r="IU12" s="237"/>
      <c r="IV12" s="237"/>
      <c r="IW12" s="237"/>
      <c r="IX12" s="237"/>
      <c r="IY12" s="237"/>
      <c r="IZ12" s="237"/>
      <c r="JA12" s="237"/>
      <c r="JB12" s="237"/>
      <c r="JC12" s="237"/>
      <c r="JD12" s="237"/>
      <c r="JE12" s="237"/>
      <c r="JF12" s="237"/>
      <c r="JG12" s="237"/>
      <c r="JH12" s="237"/>
      <c r="JI12" s="237"/>
      <c r="JJ12" s="237"/>
      <c r="JK12" s="237"/>
      <c r="JL12" s="237"/>
      <c r="JM12" s="237"/>
      <c r="JN12" s="237"/>
      <c r="JO12" s="237"/>
      <c r="JP12" s="237"/>
      <c r="JQ12" s="237"/>
      <c r="JR12" s="237"/>
      <c r="JS12" s="237"/>
      <c r="JT12" s="237"/>
      <c r="JU12" s="237"/>
      <c r="JV12" s="237"/>
      <c r="JW12" s="237"/>
      <c r="JX12" s="237"/>
      <c r="JY12" s="237"/>
      <c r="JZ12" s="237"/>
      <c r="KA12" s="237"/>
      <c r="KB12" s="237"/>
      <c r="KC12" s="237"/>
      <c r="KD12" s="237"/>
      <c r="KE12" s="237"/>
      <c r="KF12" s="237"/>
      <c r="KG12" s="237"/>
      <c r="KH12" s="237"/>
      <c r="KI12" s="237"/>
      <c r="KJ12" s="237"/>
      <c r="KK12" s="237"/>
      <c r="KL12" s="237"/>
      <c r="KM12" s="237"/>
      <c r="KN12" s="237"/>
      <c r="KO12" s="237"/>
      <c r="KP12" s="237"/>
      <c r="KQ12" s="237"/>
      <c r="KR12" s="237"/>
      <c r="KS12" s="237"/>
      <c r="KT12" s="237"/>
      <c r="KU12" s="237"/>
      <c r="KV12" s="237"/>
      <c r="KW12" s="237"/>
      <c r="KX12" s="237"/>
      <c r="KY12" s="237"/>
      <c r="KZ12" s="237"/>
      <c r="LA12" s="237"/>
      <c r="LB12" s="237"/>
      <c r="LC12" s="237"/>
      <c r="LD12" s="237"/>
      <c r="LE12" s="237"/>
      <c r="LF12" s="237"/>
      <c r="LG12" s="237"/>
      <c r="LH12" s="237"/>
      <c r="LI12" s="237"/>
      <c r="LJ12" s="237"/>
      <c r="LK12" s="237"/>
      <c r="LL12" s="237"/>
      <c r="LM12" s="237"/>
      <c r="LN12" s="237"/>
      <c r="LO12" s="237"/>
      <c r="LP12" s="237"/>
      <c r="LQ12" s="237"/>
    </row>
    <row r="13" spans="1:329" s="139" customFormat="1" ht="13.8" thickBot="1">
      <c r="A13" s="521" t="s">
        <v>241</v>
      </c>
      <c r="B13" s="242"/>
      <c r="C13" s="243"/>
      <c r="D13" s="488" t="s">
        <v>468</v>
      </c>
      <c r="E13" s="141"/>
      <c r="F13" s="142"/>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L13" s="237"/>
      <c r="AM13" s="237"/>
      <c r="AN13" s="237"/>
      <c r="AO13" s="237"/>
      <c r="AP13" s="237"/>
      <c r="AQ13" s="237"/>
      <c r="AR13" s="237"/>
      <c r="AS13" s="237"/>
      <c r="AT13" s="237"/>
      <c r="AU13" s="237"/>
      <c r="AV13" s="237"/>
      <c r="AW13" s="237"/>
      <c r="AX13" s="237"/>
      <c r="AY13" s="237"/>
      <c r="AZ13" s="237"/>
      <c r="BA13" s="237"/>
      <c r="BB13" s="237"/>
      <c r="BC13" s="237"/>
      <c r="BD13" s="237"/>
      <c r="BE13" s="237"/>
      <c r="BF13" s="237"/>
      <c r="BG13" s="237"/>
      <c r="BH13" s="237"/>
      <c r="BI13" s="237"/>
      <c r="BJ13" s="237"/>
      <c r="BK13" s="237"/>
      <c r="BL13" s="237"/>
      <c r="BM13" s="237"/>
      <c r="BN13" s="237"/>
      <c r="BO13" s="237"/>
      <c r="BP13" s="237"/>
      <c r="BQ13" s="237"/>
      <c r="BR13" s="237"/>
      <c r="BS13" s="237"/>
      <c r="BT13" s="237"/>
      <c r="BU13" s="237"/>
      <c r="BV13" s="237"/>
      <c r="BW13" s="237"/>
      <c r="BX13" s="237"/>
      <c r="BY13" s="237"/>
      <c r="BZ13" s="237"/>
      <c r="CA13" s="237"/>
      <c r="CB13" s="237"/>
      <c r="CC13" s="237"/>
      <c r="CD13" s="237"/>
      <c r="CE13" s="237"/>
      <c r="CF13" s="237"/>
      <c r="CG13" s="237"/>
      <c r="CH13" s="237"/>
      <c r="CI13" s="237"/>
      <c r="CJ13" s="237"/>
      <c r="CK13" s="237"/>
      <c r="CL13" s="237"/>
      <c r="CM13" s="237"/>
      <c r="CN13" s="237"/>
      <c r="CO13" s="237"/>
      <c r="CP13" s="237"/>
      <c r="CQ13" s="237"/>
      <c r="CR13" s="237"/>
      <c r="CS13" s="237"/>
      <c r="CT13" s="237"/>
      <c r="CU13" s="237"/>
      <c r="CV13" s="237"/>
      <c r="CW13" s="237"/>
      <c r="CX13" s="237"/>
      <c r="CY13" s="237"/>
      <c r="CZ13" s="237"/>
      <c r="DA13" s="237"/>
      <c r="DB13" s="237"/>
      <c r="DC13" s="237"/>
      <c r="DD13" s="237"/>
      <c r="DE13" s="237"/>
      <c r="DF13" s="237"/>
      <c r="DG13" s="237"/>
      <c r="DH13" s="237"/>
      <c r="DI13" s="237"/>
      <c r="DJ13" s="237"/>
      <c r="DK13" s="237"/>
      <c r="DL13" s="237"/>
      <c r="DM13" s="237"/>
      <c r="DN13" s="237"/>
      <c r="DO13" s="237"/>
      <c r="DP13" s="237"/>
      <c r="DQ13" s="237"/>
      <c r="DR13" s="237"/>
      <c r="DS13" s="237"/>
      <c r="DT13" s="237"/>
      <c r="DU13" s="237"/>
      <c r="DV13" s="237"/>
      <c r="DW13" s="237"/>
      <c r="DX13" s="237"/>
      <c r="DY13" s="237"/>
      <c r="DZ13" s="237"/>
      <c r="EA13" s="237"/>
      <c r="EB13" s="237"/>
      <c r="EC13" s="237"/>
      <c r="ED13" s="237"/>
      <c r="EE13" s="237"/>
      <c r="EF13" s="237"/>
      <c r="EG13" s="237"/>
      <c r="EH13" s="237"/>
      <c r="EI13" s="237"/>
      <c r="EJ13" s="237"/>
      <c r="EK13" s="237"/>
      <c r="EL13" s="237"/>
      <c r="EM13" s="237"/>
      <c r="EN13" s="237"/>
      <c r="EO13" s="237"/>
      <c r="EP13" s="237"/>
      <c r="EQ13" s="237"/>
      <c r="ER13" s="237"/>
      <c r="ES13" s="237"/>
      <c r="ET13" s="237"/>
      <c r="EU13" s="237"/>
      <c r="EV13" s="237"/>
      <c r="EW13" s="237"/>
      <c r="EX13" s="237"/>
      <c r="EY13" s="237"/>
      <c r="EZ13" s="237"/>
      <c r="FA13" s="237"/>
      <c r="FB13" s="237"/>
      <c r="FC13" s="237"/>
      <c r="FD13" s="237"/>
      <c r="FE13" s="237"/>
      <c r="FF13" s="237"/>
      <c r="FG13" s="237"/>
      <c r="FH13" s="237"/>
      <c r="FI13" s="237"/>
      <c r="FJ13" s="237"/>
      <c r="FK13" s="237"/>
      <c r="FL13" s="237"/>
      <c r="FM13" s="237"/>
      <c r="FN13" s="237"/>
      <c r="FO13" s="237"/>
      <c r="FP13" s="237"/>
      <c r="FQ13" s="237"/>
      <c r="FR13" s="237"/>
      <c r="FS13" s="237"/>
      <c r="FT13" s="237"/>
      <c r="FU13" s="237"/>
      <c r="FV13" s="237"/>
      <c r="FW13" s="237"/>
      <c r="FX13" s="237"/>
      <c r="FY13" s="237"/>
      <c r="FZ13" s="237"/>
      <c r="GA13" s="237"/>
      <c r="GB13" s="237"/>
      <c r="GC13" s="237"/>
      <c r="GD13" s="237"/>
      <c r="GE13" s="237"/>
      <c r="GF13" s="237"/>
      <c r="GG13" s="237"/>
      <c r="GH13" s="237"/>
      <c r="GI13" s="237"/>
      <c r="GJ13" s="237"/>
      <c r="GK13" s="237"/>
      <c r="GL13" s="237"/>
      <c r="GM13" s="237"/>
      <c r="GN13" s="237"/>
      <c r="GO13" s="237"/>
      <c r="GP13" s="237"/>
      <c r="GQ13" s="237"/>
      <c r="GR13" s="237"/>
      <c r="GS13" s="237"/>
      <c r="GT13" s="237"/>
      <c r="GU13" s="237"/>
      <c r="GV13" s="237"/>
      <c r="GW13" s="237"/>
      <c r="GX13" s="237"/>
      <c r="GY13" s="237"/>
      <c r="GZ13" s="237"/>
      <c r="HA13" s="237"/>
      <c r="HB13" s="237"/>
      <c r="HC13" s="237"/>
      <c r="HD13" s="237"/>
      <c r="HE13" s="237"/>
      <c r="HF13" s="237"/>
      <c r="HG13" s="237"/>
      <c r="HH13" s="237"/>
      <c r="HI13" s="237"/>
      <c r="HJ13" s="237"/>
      <c r="HK13" s="237"/>
      <c r="HL13" s="237"/>
      <c r="HM13" s="237"/>
      <c r="HN13" s="237"/>
      <c r="HO13" s="237"/>
      <c r="HP13" s="237"/>
      <c r="HQ13" s="237"/>
      <c r="HR13" s="237"/>
      <c r="HS13" s="237"/>
      <c r="HT13" s="237"/>
      <c r="HU13" s="237"/>
      <c r="HV13" s="237"/>
      <c r="HW13" s="237"/>
      <c r="HX13" s="237"/>
      <c r="HY13" s="237"/>
      <c r="HZ13" s="237"/>
      <c r="IA13" s="237"/>
      <c r="IB13" s="237"/>
      <c r="IC13" s="237"/>
      <c r="ID13" s="237"/>
      <c r="IE13" s="237"/>
      <c r="IF13" s="237"/>
      <c r="IG13" s="237"/>
      <c r="IH13" s="237"/>
      <c r="II13" s="237"/>
      <c r="IJ13" s="237"/>
      <c r="IK13" s="237"/>
      <c r="IL13" s="237"/>
      <c r="IM13" s="237"/>
      <c r="IN13" s="237"/>
      <c r="IO13" s="237"/>
      <c r="IP13" s="237"/>
      <c r="IQ13" s="237"/>
      <c r="IR13" s="237"/>
      <c r="IS13" s="237"/>
      <c r="IT13" s="237"/>
      <c r="IU13" s="237"/>
      <c r="IV13" s="237"/>
      <c r="IW13" s="237"/>
      <c r="IX13" s="237"/>
      <c r="IY13" s="237"/>
      <c r="IZ13" s="237"/>
      <c r="JA13" s="237"/>
      <c r="JB13" s="237"/>
      <c r="JC13" s="237"/>
      <c r="JD13" s="237"/>
      <c r="JE13" s="237"/>
      <c r="JF13" s="237"/>
      <c r="JG13" s="237"/>
      <c r="JH13" s="237"/>
      <c r="JI13" s="237"/>
      <c r="JJ13" s="237"/>
      <c r="JK13" s="237"/>
      <c r="JL13" s="237"/>
      <c r="JM13" s="237"/>
      <c r="JN13" s="237"/>
      <c r="JO13" s="237"/>
      <c r="JP13" s="237"/>
      <c r="JQ13" s="237"/>
      <c r="JR13" s="237"/>
      <c r="JS13" s="237"/>
      <c r="JT13" s="237"/>
      <c r="JU13" s="237"/>
      <c r="JV13" s="237"/>
      <c r="JW13" s="237"/>
      <c r="JX13" s="237"/>
      <c r="JY13" s="237"/>
      <c r="JZ13" s="237"/>
      <c r="KA13" s="237"/>
      <c r="KB13" s="237"/>
      <c r="KC13" s="237"/>
      <c r="KD13" s="237"/>
      <c r="KE13" s="237"/>
      <c r="KF13" s="237"/>
      <c r="KG13" s="237"/>
      <c r="KH13" s="237"/>
      <c r="KI13" s="237"/>
      <c r="KJ13" s="237"/>
      <c r="KK13" s="237"/>
      <c r="KL13" s="237"/>
      <c r="KM13" s="237"/>
      <c r="KN13" s="237"/>
      <c r="KO13" s="237"/>
      <c r="KP13" s="237"/>
      <c r="KQ13" s="237"/>
      <c r="KR13" s="237"/>
      <c r="KS13" s="237"/>
      <c r="KT13" s="237"/>
      <c r="KU13" s="237"/>
      <c r="KV13" s="237"/>
      <c r="KW13" s="237"/>
      <c r="KX13" s="237"/>
      <c r="KY13" s="237"/>
      <c r="KZ13" s="237"/>
      <c r="LA13" s="237"/>
      <c r="LB13" s="237"/>
      <c r="LC13" s="237"/>
      <c r="LD13" s="237"/>
      <c r="LE13" s="237"/>
      <c r="LF13" s="237"/>
      <c r="LG13" s="237"/>
      <c r="LH13" s="237"/>
      <c r="LI13" s="237"/>
      <c r="LJ13" s="237"/>
      <c r="LK13" s="237"/>
      <c r="LL13" s="237"/>
      <c r="LM13" s="237"/>
      <c r="LN13" s="237"/>
      <c r="LO13" s="237"/>
      <c r="LP13" s="237"/>
      <c r="LQ13" s="237"/>
    </row>
    <row r="14" spans="1:329" s="259" customFormat="1">
      <c r="A14" s="522"/>
      <c r="B14" s="260"/>
      <c r="C14" s="260"/>
      <c r="D14" s="483"/>
      <c r="E14" s="263"/>
      <c r="F14" s="267"/>
      <c r="G14" s="258"/>
      <c r="H14" s="254"/>
      <c r="I14" s="254"/>
      <c r="J14" s="254"/>
      <c r="K14" s="254"/>
      <c r="N14" s="374"/>
      <c r="O14" s="374"/>
      <c r="P14" s="374"/>
      <c r="Q14" s="374"/>
      <c r="R14" s="374"/>
      <c r="S14" s="374"/>
      <c r="T14" s="374"/>
      <c r="U14" s="374"/>
      <c r="V14" s="374"/>
      <c r="W14" s="374"/>
      <c r="X14" s="374"/>
      <c r="Y14" s="374"/>
      <c r="Z14" s="374"/>
      <c r="AA14" s="374"/>
      <c r="AB14" s="374"/>
      <c r="AC14" s="374"/>
      <c r="AD14" s="374"/>
      <c r="AE14" s="374"/>
      <c r="AF14" s="374"/>
      <c r="AG14" s="374"/>
      <c r="AH14" s="374"/>
      <c r="AI14" s="374"/>
      <c r="AJ14" s="374"/>
      <c r="AK14" s="374"/>
      <c r="AL14" s="374"/>
      <c r="AM14" s="374"/>
      <c r="AN14" s="374"/>
      <c r="AO14" s="374"/>
      <c r="AP14" s="374"/>
      <c r="AQ14" s="374"/>
      <c r="AR14" s="374"/>
      <c r="AS14" s="374"/>
      <c r="AT14" s="374"/>
      <c r="AU14" s="374"/>
      <c r="AV14" s="374"/>
      <c r="AW14" s="374"/>
      <c r="AX14" s="374"/>
      <c r="AY14" s="374"/>
      <c r="AZ14" s="374"/>
      <c r="BA14" s="374"/>
      <c r="BB14" s="374"/>
      <c r="BC14" s="374"/>
      <c r="BD14" s="374"/>
      <c r="BE14" s="374"/>
      <c r="BF14" s="374"/>
      <c r="BG14" s="374"/>
      <c r="BH14" s="374"/>
      <c r="BI14" s="374"/>
      <c r="BJ14" s="374"/>
      <c r="BK14" s="374"/>
      <c r="BL14" s="374"/>
      <c r="BM14" s="374"/>
      <c r="BN14" s="374"/>
      <c r="BO14" s="374"/>
      <c r="BP14" s="374"/>
      <c r="BQ14" s="374"/>
      <c r="BR14" s="374"/>
      <c r="BS14" s="374"/>
      <c r="BT14" s="374"/>
      <c r="BU14" s="374"/>
      <c r="BV14" s="374"/>
      <c r="BW14" s="374"/>
      <c r="BX14" s="374"/>
      <c r="BY14" s="374"/>
      <c r="BZ14" s="374"/>
      <c r="CA14" s="374"/>
      <c r="CB14" s="374"/>
      <c r="CC14" s="374"/>
      <c r="CD14" s="374"/>
      <c r="CE14" s="374"/>
      <c r="CF14" s="374"/>
      <c r="CG14" s="374"/>
      <c r="CH14" s="374"/>
      <c r="CI14" s="374"/>
      <c r="CJ14" s="374"/>
      <c r="CK14" s="374"/>
      <c r="CL14" s="374"/>
      <c r="CM14" s="374"/>
      <c r="CN14" s="374"/>
      <c r="CO14" s="374"/>
      <c r="CP14" s="374"/>
      <c r="CQ14" s="374"/>
      <c r="CR14" s="374"/>
      <c r="CS14" s="374"/>
      <c r="CT14" s="374"/>
      <c r="CU14" s="374"/>
      <c r="CV14" s="374"/>
      <c r="CW14" s="374"/>
      <c r="CX14" s="374"/>
      <c r="CY14" s="374"/>
      <c r="CZ14" s="374"/>
      <c r="DA14" s="374"/>
      <c r="DB14" s="374"/>
      <c r="DC14" s="374"/>
      <c r="DD14" s="374"/>
      <c r="DE14" s="374"/>
      <c r="DF14" s="374"/>
      <c r="DG14" s="374"/>
      <c r="DH14" s="374"/>
      <c r="DI14" s="374"/>
      <c r="DJ14" s="374"/>
      <c r="DK14" s="374"/>
      <c r="DL14" s="374"/>
      <c r="DM14" s="374"/>
      <c r="DN14" s="374"/>
      <c r="DO14" s="374"/>
      <c r="DP14" s="374"/>
      <c r="DQ14" s="374"/>
      <c r="DR14" s="374"/>
      <c r="DS14" s="374"/>
      <c r="DT14" s="374"/>
      <c r="DU14" s="374"/>
      <c r="DV14" s="374"/>
      <c r="DW14" s="374"/>
      <c r="DX14" s="374"/>
      <c r="DY14" s="374"/>
      <c r="DZ14" s="374"/>
      <c r="EA14" s="374"/>
      <c r="EB14" s="374"/>
      <c r="EC14" s="374"/>
      <c r="ED14" s="374"/>
      <c r="EE14" s="374"/>
      <c r="EF14" s="374"/>
      <c r="EG14" s="374"/>
      <c r="EH14" s="374"/>
      <c r="EI14" s="374"/>
      <c r="EJ14" s="374"/>
      <c r="EK14" s="374"/>
      <c r="EL14" s="374"/>
      <c r="EM14" s="374"/>
      <c r="EN14" s="374"/>
      <c r="EO14" s="374"/>
      <c r="EP14" s="374"/>
      <c r="EQ14" s="374"/>
      <c r="ER14" s="374"/>
      <c r="ES14" s="374"/>
      <c r="ET14" s="374"/>
      <c r="EU14" s="374"/>
      <c r="EV14" s="374"/>
      <c r="EW14" s="374"/>
      <c r="EX14" s="374"/>
      <c r="EY14" s="374"/>
      <c r="EZ14" s="374"/>
      <c r="FA14" s="374"/>
      <c r="FB14" s="374"/>
      <c r="FC14" s="374"/>
      <c r="FD14" s="374"/>
      <c r="FE14" s="374"/>
      <c r="FF14" s="374"/>
      <c r="FG14" s="374"/>
      <c r="FH14" s="374"/>
      <c r="FI14" s="374"/>
      <c r="FJ14" s="374"/>
      <c r="FK14" s="374"/>
      <c r="FL14" s="374"/>
      <c r="FM14" s="374"/>
      <c r="FN14" s="374"/>
      <c r="FO14" s="374"/>
      <c r="FP14" s="374"/>
      <c r="FQ14" s="374"/>
      <c r="FR14" s="374"/>
      <c r="FS14" s="374"/>
      <c r="FT14" s="374"/>
      <c r="FU14" s="374"/>
      <c r="FV14" s="374"/>
      <c r="FW14" s="374"/>
      <c r="FX14" s="374"/>
      <c r="FY14" s="374"/>
      <c r="FZ14" s="374"/>
      <c r="GA14" s="374"/>
      <c r="GB14" s="374"/>
      <c r="GC14" s="374"/>
      <c r="GD14" s="374"/>
      <c r="GE14" s="374"/>
      <c r="GF14" s="374"/>
      <c r="GG14" s="374"/>
      <c r="GH14" s="374"/>
      <c r="GI14" s="374"/>
      <c r="GJ14" s="374"/>
      <c r="GK14" s="374"/>
      <c r="GL14" s="374"/>
      <c r="GM14" s="374"/>
      <c r="GN14" s="374"/>
      <c r="GO14" s="374"/>
      <c r="GP14" s="374"/>
      <c r="GQ14" s="374"/>
      <c r="GR14" s="374"/>
      <c r="GS14" s="374"/>
      <c r="GT14" s="374"/>
      <c r="GU14" s="374"/>
      <c r="GV14" s="374"/>
      <c r="GW14" s="374"/>
      <c r="GX14" s="374"/>
      <c r="GY14" s="374"/>
      <c r="GZ14" s="374"/>
      <c r="HA14" s="374"/>
      <c r="HB14" s="374"/>
      <c r="HC14" s="374"/>
      <c r="HD14" s="374"/>
      <c r="HE14" s="374"/>
      <c r="HF14" s="374"/>
      <c r="HG14" s="374"/>
      <c r="HH14" s="374"/>
      <c r="HI14" s="374"/>
      <c r="HJ14" s="374"/>
      <c r="HK14" s="374"/>
      <c r="HL14" s="374"/>
      <c r="HM14" s="374"/>
      <c r="HN14" s="374"/>
      <c r="HO14" s="374"/>
      <c r="HP14" s="374"/>
      <c r="HQ14" s="374"/>
      <c r="HR14" s="374"/>
      <c r="HS14" s="374"/>
      <c r="HT14" s="374"/>
      <c r="HU14" s="374"/>
      <c r="HV14" s="374"/>
      <c r="HW14" s="374"/>
      <c r="HX14" s="374"/>
      <c r="HY14" s="374"/>
      <c r="HZ14" s="374"/>
      <c r="IA14" s="374"/>
      <c r="IB14" s="374"/>
      <c r="IC14" s="374"/>
      <c r="ID14" s="374"/>
      <c r="IE14" s="374"/>
      <c r="IF14" s="374"/>
      <c r="IG14" s="374"/>
      <c r="IH14" s="374"/>
      <c r="II14" s="374"/>
      <c r="IJ14" s="374"/>
      <c r="IK14" s="374"/>
      <c r="IL14" s="374"/>
      <c r="IM14" s="374"/>
      <c r="IN14" s="374"/>
      <c r="IO14" s="374"/>
      <c r="IP14" s="374"/>
      <c r="IQ14" s="374"/>
      <c r="IR14" s="374"/>
      <c r="IS14" s="374"/>
      <c r="IT14" s="374"/>
      <c r="IU14" s="374"/>
      <c r="IV14" s="374"/>
      <c r="IW14" s="374"/>
      <c r="IX14" s="374"/>
      <c r="IY14" s="374"/>
      <c r="IZ14" s="374"/>
      <c r="JA14" s="374"/>
      <c r="JB14" s="374"/>
      <c r="JC14" s="374"/>
      <c r="JD14" s="374"/>
      <c r="JE14" s="374"/>
      <c r="JF14" s="374"/>
      <c r="JG14" s="374"/>
      <c r="JH14" s="374"/>
      <c r="JI14" s="374"/>
      <c r="JJ14" s="374"/>
      <c r="JK14" s="374"/>
      <c r="JL14" s="374"/>
      <c r="JM14" s="374"/>
      <c r="JN14" s="374"/>
      <c r="JO14" s="374"/>
      <c r="JP14" s="374"/>
      <c r="JQ14" s="374"/>
      <c r="JR14" s="374"/>
      <c r="JS14" s="374"/>
      <c r="JT14" s="374"/>
      <c r="JU14" s="374"/>
      <c r="JV14" s="374"/>
      <c r="JW14" s="374"/>
      <c r="JX14" s="374"/>
      <c r="JY14" s="374"/>
      <c r="JZ14" s="374"/>
      <c r="KA14" s="374"/>
      <c r="KB14" s="374"/>
      <c r="KC14" s="374"/>
      <c r="KD14" s="374"/>
      <c r="KE14" s="374"/>
      <c r="KF14" s="374"/>
      <c r="KG14" s="374"/>
      <c r="KH14" s="374"/>
      <c r="KI14" s="374"/>
      <c r="KJ14" s="374"/>
      <c r="KK14" s="374"/>
      <c r="KL14" s="374"/>
      <c r="KM14" s="374"/>
      <c r="KN14" s="374"/>
      <c r="KO14" s="374"/>
      <c r="KP14" s="374"/>
      <c r="KQ14" s="374"/>
      <c r="KR14" s="374"/>
      <c r="KS14" s="374"/>
      <c r="KT14" s="374"/>
      <c r="KU14" s="374"/>
      <c r="KV14" s="374"/>
      <c r="KW14" s="374"/>
      <c r="KX14" s="374"/>
      <c r="KY14" s="374"/>
      <c r="KZ14" s="374"/>
      <c r="LA14" s="374"/>
      <c r="LB14" s="374"/>
      <c r="LC14" s="374"/>
      <c r="LD14" s="374"/>
      <c r="LE14" s="374"/>
      <c r="LF14" s="374"/>
      <c r="LG14" s="374"/>
      <c r="LH14" s="374"/>
      <c r="LI14" s="374"/>
      <c r="LJ14" s="374"/>
      <c r="LK14" s="374"/>
      <c r="LL14" s="374"/>
      <c r="LM14" s="374"/>
      <c r="LN14" s="374"/>
      <c r="LO14" s="374"/>
      <c r="LP14" s="374"/>
      <c r="LQ14" s="374"/>
    </row>
    <row r="15" spans="1:329" ht="13.8" thickBot="1">
      <c r="G15" s="280"/>
      <c r="H15" s="262"/>
      <c r="I15" s="262"/>
      <c r="J15" s="262"/>
      <c r="K15" s="262"/>
    </row>
    <row r="16" spans="1:329">
      <c r="A16" s="819" t="s">
        <v>504</v>
      </c>
      <c r="B16" s="820"/>
      <c r="C16" s="820"/>
      <c r="D16" s="820"/>
      <c r="E16" s="820"/>
      <c r="F16" s="821"/>
      <c r="G16" s="281"/>
      <c r="H16" s="282"/>
      <c r="I16" s="282"/>
      <c r="J16" s="282"/>
      <c r="K16" s="282"/>
    </row>
    <row r="17" spans="1:329">
      <c r="A17" s="524" t="s">
        <v>502</v>
      </c>
      <c r="B17" s="225" t="str">
        <f>HYPERLINK("#"&amp;"Meet","LEED® Credits and/or Prerequisites that meet HPSB Requirements")</f>
        <v>LEED® Credits and/or Prerequisites that meet HPSB Requirements</v>
      </c>
      <c r="C17" s="225"/>
      <c r="D17" s="490"/>
      <c r="E17" s="283"/>
      <c r="F17" s="351"/>
    </row>
    <row r="18" spans="1:329">
      <c r="A18" s="525"/>
      <c r="B18" s="226" t="str">
        <f>HYPERLINK("#"&amp;"Align","LEED® Credits and/or Prerequisites that align closely with HPSB Requirements")</f>
        <v>LEED® Credits and/or Prerequisites that align closely with HPSB Requirements</v>
      </c>
      <c r="C18" s="284"/>
      <c r="E18" s="255"/>
      <c r="F18" s="352"/>
    </row>
    <row r="19" spans="1:329">
      <c r="A19" s="526"/>
      <c r="B19" s="294" t="str">
        <f>HYPERLINK("#"&amp;"Energy_Water","LEED® Credits that meet Energy &amp; Water Criteria (may depend on technologies &amp; strategies)")</f>
        <v>LEED® Credits that meet Energy &amp; Water Criteria (may depend on technologies &amp; strategies)</v>
      </c>
      <c r="C19" s="285"/>
      <c r="D19" s="491"/>
      <c r="E19" s="286"/>
      <c r="F19" s="458"/>
      <c r="G19" s="287"/>
    </row>
    <row r="20" spans="1:329" s="259" customFormat="1">
      <c r="A20" s="527" t="s">
        <v>320</v>
      </c>
      <c r="B20" s="288"/>
      <c r="C20" s="288"/>
      <c r="D20" s="492"/>
      <c r="E20" s="289"/>
      <c r="F20" s="459"/>
      <c r="G20" s="258"/>
      <c r="H20" s="254"/>
      <c r="I20" s="254"/>
      <c r="J20" s="254"/>
      <c r="K20" s="254"/>
      <c r="N20" s="374"/>
      <c r="O20" s="374"/>
      <c r="P20" s="374"/>
      <c r="Q20" s="374"/>
      <c r="R20" s="374"/>
      <c r="S20" s="374"/>
      <c r="T20" s="374"/>
      <c r="U20" s="374"/>
      <c r="V20" s="374"/>
      <c r="W20" s="374"/>
      <c r="X20" s="374"/>
      <c r="Y20" s="374"/>
      <c r="Z20" s="374"/>
      <c r="AA20" s="374"/>
      <c r="AB20" s="374"/>
      <c r="AC20" s="374"/>
      <c r="AD20" s="374"/>
      <c r="AE20" s="374"/>
      <c r="AF20" s="374"/>
      <c r="AG20" s="374"/>
      <c r="AH20" s="374"/>
      <c r="AI20" s="374"/>
      <c r="AJ20" s="374"/>
      <c r="AK20" s="374"/>
      <c r="AL20" s="374"/>
      <c r="AM20" s="374"/>
      <c r="AN20" s="374"/>
      <c r="AO20" s="374"/>
      <c r="AP20" s="374"/>
      <c r="AQ20" s="374"/>
      <c r="AR20" s="374"/>
      <c r="AS20" s="374"/>
      <c r="AT20" s="374"/>
      <c r="AU20" s="374"/>
      <c r="AV20" s="374"/>
      <c r="AW20" s="374"/>
      <c r="AX20" s="374"/>
      <c r="AY20" s="374"/>
      <c r="AZ20" s="374"/>
      <c r="BA20" s="374"/>
      <c r="BB20" s="374"/>
      <c r="BC20" s="374"/>
      <c r="BD20" s="374"/>
      <c r="BE20" s="374"/>
      <c r="BF20" s="374"/>
      <c r="BG20" s="374"/>
      <c r="BH20" s="374"/>
      <c r="BI20" s="374"/>
      <c r="BJ20" s="374"/>
      <c r="BK20" s="374"/>
      <c r="BL20" s="374"/>
      <c r="BM20" s="374"/>
      <c r="BN20" s="374"/>
      <c r="BO20" s="374"/>
      <c r="BP20" s="374"/>
      <c r="BQ20" s="374"/>
      <c r="BR20" s="374"/>
      <c r="BS20" s="374"/>
      <c r="BT20" s="374"/>
      <c r="BU20" s="374"/>
      <c r="BV20" s="374"/>
      <c r="BW20" s="374"/>
      <c r="BX20" s="374"/>
      <c r="BY20" s="374"/>
      <c r="BZ20" s="374"/>
      <c r="CA20" s="374"/>
      <c r="CB20" s="374"/>
      <c r="CC20" s="374"/>
      <c r="CD20" s="374"/>
      <c r="CE20" s="374"/>
      <c r="CF20" s="374"/>
      <c r="CG20" s="374"/>
      <c r="CH20" s="374"/>
      <c r="CI20" s="374"/>
      <c r="CJ20" s="374"/>
      <c r="CK20" s="374"/>
      <c r="CL20" s="374"/>
      <c r="CM20" s="374"/>
      <c r="CN20" s="374"/>
      <c r="CO20" s="374"/>
      <c r="CP20" s="374"/>
      <c r="CQ20" s="374"/>
      <c r="CR20" s="374"/>
      <c r="CS20" s="374"/>
      <c r="CT20" s="374"/>
      <c r="CU20" s="374"/>
      <c r="CV20" s="374"/>
      <c r="CW20" s="374"/>
      <c r="CX20" s="374"/>
      <c r="CY20" s="374"/>
      <c r="CZ20" s="374"/>
      <c r="DA20" s="374"/>
      <c r="DB20" s="374"/>
      <c r="DC20" s="374"/>
      <c r="DD20" s="374"/>
      <c r="DE20" s="374"/>
      <c r="DF20" s="374"/>
      <c r="DG20" s="374"/>
      <c r="DH20" s="374"/>
      <c r="DI20" s="374"/>
      <c r="DJ20" s="374"/>
      <c r="DK20" s="374"/>
      <c r="DL20" s="374"/>
      <c r="DM20" s="374"/>
      <c r="DN20" s="374"/>
      <c r="DO20" s="374"/>
      <c r="DP20" s="374"/>
      <c r="DQ20" s="374"/>
      <c r="DR20" s="374"/>
      <c r="DS20" s="374"/>
      <c r="DT20" s="374"/>
      <c r="DU20" s="374"/>
      <c r="DV20" s="374"/>
      <c r="DW20" s="374"/>
      <c r="DX20" s="374"/>
      <c r="DY20" s="374"/>
      <c r="DZ20" s="374"/>
      <c r="EA20" s="374"/>
      <c r="EB20" s="374"/>
      <c r="EC20" s="374"/>
      <c r="ED20" s="374"/>
      <c r="EE20" s="374"/>
      <c r="EF20" s="374"/>
      <c r="EG20" s="374"/>
      <c r="EH20" s="374"/>
      <c r="EI20" s="374"/>
      <c r="EJ20" s="374"/>
      <c r="EK20" s="374"/>
      <c r="EL20" s="374"/>
      <c r="EM20" s="374"/>
      <c r="EN20" s="374"/>
      <c r="EO20" s="374"/>
      <c r="EP20" s="374"/>
      <c r="EQ20" s="374"/>
      <c r="ER20" s="374"/>
      <c r="ES20" s="374"/>
      <c r="ET20" s="374"/>
      <c r="EU20" s="374"/>
      <c r="EV20" s="374"/>
      <c r="EW20" s="374"/>
      <c r="EX20" s="374"/>
      <c r="EY20" s="374"/>
      <c r="EZ20" s="374"/>
      <c r="FA20" s="374"/>
      <c r="FB20" s="374"/>
      <c r="FC20" s="374"/>
      <c r="FD20" s="374"/>
      <c r="FE20" s="374"/>
      <c r="FF20" s="374"/>
      <c r="FG20" s="374"/>
      <c r="FH20" s="374"/>
      <c r="FI20" s="374"/>
      <c r="FJ20" s="374"/>
      <c r="FK20" s="374"/>
      <c r="FL20" s="374"/>
      <c r="FM20" s="374"/>
      <c r="FN20" s="374"/>
      <c r="FO20" s="374"/>
      <c r="FP20" s="374"/>
      <c r="FQ20" s="374"/>
      <c r="FR20" s="374"/>
      <c r="FS20" s="374"/>
      <c r="FT20" s="374"/>
      <c r="FU20" s="374"/>
      <c r="FV20" s="374"/>
      <c r="FW20" s="374"/>
      <c r="FX20" s="374"/>
      <c r="FY20" s="374"/>
      <c r="FZ20" s="374"/>
      <c r="GA20" s="374"/>
      <c r="GB20" s="374"/>
      <c r="GC20" s="374"/>
      <c r="GD20" s="374"/>
      <c r="GE20" s="374"/>
      <c r="GF20" s="374"/>
      <c r="GG20" s="374"/>
      <c r="GH20" s="374"/>
      <c r="GI20" s="374"/>
      <c r="GJ20" s="374"/>
      <c r="GK20" s="374"/>
      <c r="GL20" s="374"/>
      <c r="GM20" s="374"/>
      <c r="GN20" s="374"/>
      <c r="GO20" s="374"/>
      <c r="GP20" s="374"/>
      <c r="GQ20" s="374"/>
      <c r="GR20" s="374"/>
      <c r="GS20" s="374"/>
      <c r="GT20" s="374"/>
      <c r="GU20" s="374"/>
      <c r="GV20" s="374"/>
      <c r="GW20" s="374"/>
      <c r="GX20" s="374"/>
      <c r="GY20" s="374"/>
      <c r="GZ20" s="374"/>
      <c r="HA20" s="374"/>
      <c r="HB20" s="374"/>
      <c r="HC20" s="374"/>
      <c r="HD20" s="374"/>
      <c r="HE20" s="374"/>
      <c r="HF20" s="374"/>
      <c r="HG20" s="374"/>
      <c r="HH20" s="374"/>
      <c r="HI20" s="374"/>
      <c r="HJ20" s="374"/>
      <c r="HK20" s="374"/>
      <c r="HL20" s="374"/>
      <c r="HM20" s="374"/>
      <c r="HN20" s="374"/>
      <c r="HO20" s="374"/>
      <c r="HP20" s="374"/>
      <c r="HQ20" s="374"/>
      <c r="HR20" s="374"/>
      <c r="HS20" s="374"/>
      <c r="HT20" s="374"/>
      <c r="HU20" s="374"/>
      <c r="HV20" s="374"/>
      <c r="HW20" s="374"/>
      <c r="HX20" s="374"/>
      <c r="HY20" s="374"/>
      <c r="HZ20" s="374"/>
      <c r="IA20" s="374"/>
      <c r="IB20" s="374"/>
      <c r="IC20" s="374"/>
      <c r="ID20" s="374"/>
      <c r="IE20" s="374"/>
      <c r="IF20" s="374"/>
      <c r="IG20" s="374"/>
      <c r="IH20" s="374"/>
      <c r="II20" s="374"/>
      <c r="IJ20" s="374"/>
      <c r="IK20" s="374"/>
      <c r="IL20" s="374"/>
      <c r="IM20" s="374"/>
      <c r="IN20" s="374"/>
      <c r="IO20" s="374"/>
      <c r="IP20" s="374"/>
      <c r="IQ20" s="374"/>
      <c r="IR20" s="374"/>
      <c r="IS20" s="374"/>
      <c r="IT20" s="374"/>
      <c r="IU20" s="374"/>
      <c r="IV20" s="374"/>
      <c r="IW20" s="374"/>
      <c r="IX20" s="374"/>
      <c r="IY20" s="374"/>
      <c r="IZ20" s="374"/>
      <c r="JA20" s="374"/>
      <c r="JB20" s="374"/>
      <c r="JC20" s="374"/>
      <c r="JD20" s="374"/>
      <c r="JE20" s="374"/>
      <c r="JF20" s="374"/>
      <c r="JG20" s="374"/>
      <c r="JH20" s="374"/>
      <c r="JI20" s="374"/>
      <c r="JJ20" s="374"/>
      <c r="JK20" s="374"/>
      <c r="JL20" s="374"/>
      <c r="JM20" s="374"/>
      <c r="JN20" s="374"/>
      <c r="JO20" s="374"/>
      <c r="JP20" s="374"/>
      <c r="JQ20" s="374"/>
      <c r="JR20" s="374"/>
      <c r="JS20" s="374"/>
      <c r="JT20" s="374"/>
      <c r="JU20" s="374"/>
      <c r="JV20" s="374"/>
      <c r="JW20" s="374"/>
      <c r="JX20" s="374"/>
      <c r="JY20" s="374"/>
      <c r="JZ20" s="374"/>
      <c r="KA20" s="374"/>
      <c r="KB20" s="374"/>
      <c r="KC20" s="374"/>
      <c r="KD20" s="374"/>
      <c r="KE20" s="374"/>
      <c r="KF20" s="374"/>
      <c r="KG20" s="374"/>
      <c r="KH20" s="374"/>
      <c r="KI20" s="374"/>
      <c r="KJ20" s="374"/>
      <c r="KK20" s="374"/>
      <c r="KL20" s="374"/>
      <c r="KM20" s="374"/>
      <c r="KN20" s="374"/>
      <c r="KO20" s="374"/>
      <c r="KP20" s="374"/>
      <c r="KQ20" s="374"/>
      <c r="KR20" s="374"/>
      <c r="KS20" s="374"/>
      <c r="KT20" s="374"/>
      <c r="KU20" s="374"/>
      <c r="KV20" s="374"/>
      <c r="KW20" s="374"/>
      <c r="KX20" s="374"/>
      <c r="KY20" s="374"/>
      <c r="KZ20" s="374"/>
      <c r="LA20" s="374"/>
      <c r="LB20" s="374"/>
      <c r="LC20" s="374"/>
      <c r="LD20" s="374"/>
      <c r="LE20" s="374"/>
      <c r="LF20" s="374"/>
      <c r="LG20" s="374"/>
      <c r="LH20" s="374"/>
      <c r="LI20" s="374"/>
      <c r="LJ20" s="374"/>
      <c r="LK20" s="374"/>
      <c r="LL20" s="374"/>
      <c r="LM20" s="374"/>
      <c r="LN20" s="374"/>
      <c r="LO20" s="374"/>
      <c r="LP20" s="374"/>
      <c r="LQ20" s="374"/>
    </row>
    <row r="21" spans="1:329" s="259" customFormat="1">
      <c r="A21" s="528" t="s">
        <v>243</v>
      </c>
      <c r="B21" s="593">
        <f>SUM((IF(A23="Yes",F23,0)+IF(A24="Yes",F24,0)+IF(A25="Yes",F25,0)+IF(A26="Yes",F26,0)+IF(A27="Yes",F27,0)+IF(A28="Yes",F28,0)+IF(A29="Yes",F29,0)+IF(A30="Yes",F30,0)+IF(A31="Yes",F31,0)+IF(A32="Yes",F32,0)+IF(A33="Yes",F33,0)+IF(A34="Yes",F34,0)+IF(A35="Yes",F35,0)+IF(A36="Yes",F36,0)))</f>
        <v>13</v>
      </c>
      <c r="C21" s="290" t="s">
        <v>320</v>
      </c>
      <c r="D21" s="493"/>
      <c r="E21" s="270" t="s">
        <v>244</v>
      </c>
      <c r="F21" s="460">
        <f>SUM(F23:F36)</f>
        <v>26</v>
      </c>
      <c r="G21" s="258"/>
      <c r="H21" s="254"/>
      <c r="I21" s="254"/>
      <c r="J21" s="254"/>
      <c r="K21" s="25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374"/>
      <c r="AK21" s="374"/>
      <c r="AL21" s="374"/>
      <c r="AM21" s="374"/>
      <c r="AN21" s="374"/>
      <c r="AO21" s="374"/>
      <c r="AP21" s="374"/>
      <c r="AQ21" s="374"/>
      <c r="AR21" s="374"/>
      <c r="AS21" s="374"/>
      <c r="AT21" s="374"/>
      <c r="AU21" s="374"/>
      <c r="AV21" s="374"/>
      <c r="AW21" s="374"/>
      <c r="AX21" s="374"/>
      <c r="AY21" s="374"/>
      <c r="AZ21" s="374"/>
      <c r="BA21" s="374"/>
      <c r="BB21" s="374"/>
      <c r="BC21" s="374"/>
      <c r="BD21" s="374"/>
      <c r="BE21" s="374"/>
      <c r="BF21" s="374"/>
      <c r="BG21" s="374"/>
      <c r="BH21" s="374"/>
      <c r="BI21" s="374"/>
      <c r="BJ21" s="374"/>
      <c r="BK21" s="374"/>
      <c r="BL21" s="374"/>
      <c r="BM21" s="374"/>
      <c r="BN21" s="374"/>
      <c r="BO21" s="374"/>
      <c r="BP21" s="374"/>
      <c r="BQ21" s="374"/>
      <c r="BR21" s="374"/>
      <c r="BS21" s="374"/>
      <c r="BT21" s="374"/>
      <c r="BU21" s="374"/>
      <c r="BV21" s="374"/>
      <c r="BW21" s="374"/>
      <c r="BX21" s="374"/>
      <c r="BY21" s="374"/>
      <c r="BZ21" s="374"/>
      <c r="CA21" s="374"/>
      <c r="CB21" s="374"/>
      <c r="CC21" s="374"/>
      <c r="CD21" s="374"/>
      <c r="CE21" s="374"/>
      <c r="CF21" s="374"/>
      <c r="CG21" s="374"/>
      <c r="CH21" s="374"/>
      <c r="CI21" s="374"/>
      <c r="CJ21" s="374"/>
      <c r="CK21" s="374"/>
      <c r="CL21" s="374"/>
      <c r="CM21" s="374"/>
      <c r="CN21" s="374"/>
      <c r="CO21" s="374"/>
      <c r="CP21" s="374"/>
      <c r="CQ21" s="374"/>
      <c r="CR21" s="374"/>
      <c r="CS21" s="374"/>
      <c r="CT21" s="374"/>
      <c r="CU21" s="374"/>
      <c r="CV21" s="374"/>
      <c r="CW21" s="374"/>
      <c r="CX21" s="374"/>
      <c r="CY21" s="374"/>
      <c r="CZ21" s="374"/>
      <c r="DA21" s="374"/>
      <c r="DB21" s="374"/>
      <c r="DC21" s="374"/>
      <c r="DD21" s="374"/>
      <c r="DE21" s="374"/>
      <c r="DF21" s="374"/>
      <c r="DG21" s="374"/>
      <c r="DH21" s="374"/>
      <c r="DI21" s="374"/>
      <c r="DJ21" s="374"/>
      <c r="DK21" s="374"/>
      <c r="DL21" s="374"/>
      <c r="DM21" s="374"/>
      <c r="DN21" s="374"/>
      <c r="DO21" s="374"/>
      <c r="DP21" s="374"/>
      <c r="DQ21" s="374"/>
      <c r="DR21" s="374"/>
      <c r="DS21" s="374"/>
      <c r="DT21" s="374"/>
      <c r="DU21" s="374"/>
      <c r="DV21" s="374"/>
      <c r="DW21" s="374"/>
      <c r="DX21" s="374"/>
      <c r="DY21" s="374"/>
      <c r="DZ21" s="374"/>
      <c r="EA21" s="374"/>
      <c r="EB21" s="374"/>
      <c r="EC21" s="374"/>
      <c r="ED21" s="374"/>
      <c r="EE21" s="374"/>
      <c r="EF21" s="374"/>
      <c r="EG21" s="374"/>
      <c r="EH21" s="374"/>
      <c r="EI21" s="374"/>
      <c r="EJ21" s="374"/>
      <c r="EK21" s="374"/>
      <c r="EL21" s="374"/>
      <c r="EM21" s="374"/>
      <c r="EN21" s="374"/>
      <c r="EO21" s="374"/>
      <c r="EP21" s="374"/>
      <c r="EQ21" s="374"/>
      <c r="ER21" s="374"/>
      <c r="ES21" s="374"/>
      <c r="ET21" s="374"/>
      <c r="EU21" s="374"/>
      <c r="EV21" s="374"/>
      <c r="EW21" s="374"/>
      <c r="EX21" s="374"/>
      <c r="EY21" s="374"/>
      <c r="EZ21" s="374"/>
      <c r="FA21" s="374"/>
      <c r="FB21" s="374"/>
      <c r="FC21" s="374"/>
      <c r="FD21" s="374"/>
      <c r="FE21" s="374"/>
      <c r="FF21" s="374"/>
      <c r="FG21" s="374"/>
      <c r="FH21" s="374"/>
      <c r="FI21" s="374"/>
      <c r="FJ21" s="374"/>
      <c r="FK21" s="374"/>
      <c r="FL21" s="374"/>
      <c r="FM21" s="374"/>
      <c r="FN21" s="374"/>
      <c r="FO21" s="374"/>
      <c r="FP21" s="374"/>
      <c r="FQ21" s="374"/>
      <c r="FR21" s="374"/>
      <c r="FS21" s="374"/>
      <c r="FT21" s="374"/>
      <c r="FU21" s="374"/>
      <c r="FV21" s="374"/>
      <c r="FW21" s="374"/>
      <c r="FX21" s="374"/>
      <c r="FY21" s="374"/>
      <c r="FZ21" s="374"/>
      <c r="GA21" s="374"/>
      <c r="GB21" s="374"/>
      <c r="GC21" s="374"/>
      <c r="GD21" s="374"/>
      <c r="GE21" s="374"/>
      <c r="GF21" s="374"/>
      <c r="GG21" s="374"/>
      <c r="GH21" s="374"/>
      <c r="GI21" s="374"/>
      <c r="GJ21" s="374"/>
      <c r="GK21" s="374"/>
      <c r="GL21" s="374"/>
      <c r="GM21" s="374"/>
      <c r="GN21" s="374"/>
      <c r="GO21" s="374"/>
      <c r="GP21" s="374"/>
      <c r="GQ21" s="374"/>
      <c r="GR21" s="374"/>
      <c r="GS21" s="374"/>
      <c r="GT21" s="374"/>
      <c r="GU21" s="374"/>
      <c r="GV21" s="374"/>
      <c r="GW21" s="374"/>
      <c r="GX21" s="374"/>
      <c r="GY21" s="374"/>
      <c r="GZ21" s="374"/>
      <c r="HA21" s="374"/>
      <c r="HB21" s="374"/>
      <c r="HC21" s="374"/>
      <c r="HD21" s="374"/>
      <c r="HE21" s="374"/>
      <c r="HF21" s="374"/>
      <c r="HG21" s="374"/>
      <c r="HH21" s="374"/>
      <c r="HI21" s="374"/>
      <c r="HJ21" s="374"/>
      <c r="HK21" s="374"/>
      <c r="HL21" s="374"/>
      <c r="HM21" s="374"/>
      <c r="HN21" s="374"/>
      <c r="HO21" s="374"/>
      <c r="HP21" s="374"/>
      <c r="HQ21" s="374"/>
      <c r="HR21" s="374"/>
      <c r="HS21" s="374"/>
      <c r="HT21" s="374"/>
      <c r="HU21" s="374"/>
      <c r="HV21" s="374"/>
      <c r="HW21" s="374"/>
      <c r="HX21" s="374"/>
      <c r="HY21" s="374"/>
      <c r="HZ21" s="374"/>
      <c r="IA21" s="374"/>
      <c r="IB21" s="374"/>
      <c r="IC21" s="374"/>
      <c r="ID21" s="374"/>
      <c r="IE21" s="374"/>
      <c r="IF21" s="374"/>
      <c r="IG21" s="374"/>
      <c r="IH21" s="374"/>
      <c r="II21" s="374"/>
      <c r="IJ21" s="374"/>
      <c r="IK21" s="374"/>
      <c r="IL21" s="374"/>
      <c r="IM21" s="374"/>
      <c r="IN21" s="374"/>
      <c r="IO21" s="374"/>
      <c r="IP21" s="374"/>
      <c r="IQ21" s="374"/>
      <c r="IR21" s="374"/>
      <c r="IS21" s="374"/>
      <c r="IT21" s="374"/>
      <c r="IU21" s="374"/>
      <c r="IV21" s="374"/>
      <c r="IW21" s="374"/>
      <c r="IX21" s="374"/>
      <c r="IY21" s="374"/>
      <c r="IZ21" s="374"/>
      <c r="JA21" s="374"/>
      <c r="JB21" s="374"/>
      <c r="JC21" s="374"/>
      <c r="JD21" s="374"/>
      <c r="JE21" s="374"/>
      <c r="JF21" s="374"/>
      <c r="JG21" s="374"/>
      <c r="JH21" s="374"/>
      <c r="JI21" s="374"/>
      <c r="JJ21" s="374"/>
      <c r="JK21" s="374"/>
      <c r="JL21" s="374"/>
      <c r="JM21" s="374"/>
      <c r="JN21" s="374"/>
      <c r="JO21" s="374"/>
      <c r="JP21" s="374"/>
      <c r="JQ21" s="374"/>
      <c r="JR21" s="374"/>
      <c r="JS21" s="374"/>
      <c r="JT21" s="374"/>
      <c r="JU21" s="374"/>
      <c r="JV21" s="374"/>
      <c r="JW21" s="374"/>
      <c r="JX21" s="374"/>
      <c r="JY21" s="374"/>
      <c r="JZ21" s="374"/>
      <c r="KA21" s="374"/>
      <c r="KB21" s="374"/>
      <c r="KC21" s="374"/>
      <c r="KD21" s="374"/>
      <c r="KE21" s="374"/>
      <c r="KF21" s="374"/>
      <c r="KG21" s="374"/>
      <c r="KH21" s="374"/>
      <c r="KI21" s="374"/>
      <c r="KJ21" s="374"/>
      <c r="KK21" s="374"/>
      <c r="KL21" s="374"/>
      <c r="KM21" s="374"/>
      <c r="KN21" s="374"/>
      <c r="KO21" s="374"/>
      <c r="KP21" s="374"/>
      <c r="KQ21" s="374"/>
      <c r="KR21" s="374"/>
      <c r="KS21" s="374"/>
      <c r="KT21" s="374"/>
      <c r="KU21" s="374"/>
      <c r="KV21" s="374"/>
      <c r="KW21" s="374"/>
      <c r="KX21" s="374"/>
      <c r="KY21" s="374"/>
      <c r="KZ21" s="374"/>
      <c r="LA21" s="374"/>
      <c r="LB21" s="374"/>
      <c r="LC21" s="374"/>
      <c r="LD21" s="374"/>
      <c r="LE21" s="374"/>
      <c r="LF21" s="374"/>
      <c r="LG21" s="374"/>
      <c r="LH21" s="374"/>
      <c r="LI21" s="374"/>
      <c r="LJ21" s="374"/>
      <c r="LK21" s="374"/>
      <c r="LL21" s="374"/>
      <c r="LM21" s="374"/>
      <c r="LN21" s="374"/>
      <c r="LO21" s="374"/>
      <c r="LP21" s="374"/>
      <c r="LQ21" s="374"/>
    </row>
    <row r="22" spans="1:329">
      <c r="A22" s="529" t="s">
        <v>465</v>
      </c>
      <c r="B22" s="276" t="s">
        <v>321</v>
      </c>
      <c r="C22" s="276"/>
      <c r="D22" s="494" t="str">
        <f>HYPERLINK("#"&amp;"HPSBIII.3_Ref","Construction Activity Pollution Prevention (HPSB GP3)")</f>
        <v>Construction Activity Pollution Prevention (HPSB GP3)</v>
      </c>
      <c r="E22" s="291"/>
      <c r="F22" s="461" t="s">
        <v>322</v>
      </c>
      <c r="G22" s="258" t="s">
        <v>320</v>
      </c>
    </row>
    <row r="23" spans="1:329">
      <c r="A23" s="530" t="s">
        <v>465</v>
      </c>
      <c r="B23" s="273" t="s">
        <v>323</v>
      </c>
      <c r="C23" s="277"/>
      <c r="D23" s="804" t="s">
        <v>324</v>
      </c>
      <c r="E23" s="805"/>
      <c r="F23" s="462">
        <v>1</v>
      </c>
      <c r="G23" s="258" t="s">
        <v>320</v>
      </c>
    </row>
    <row r="24" spans="1:329">
      <c r="A24" s="530" t="s">
        <v>465</v>
      </c>
      <c r="B24" s="277" t="s">
        <v>325</v>
      </c>
      <c r="C24" s="277"/>
      <c r="D24" s="804" t="s">
        <v>326</v>
      </c>
      <c r="E24" s="815"/>
      <c r="F24" s="462">
        <v>5</v>
      </c>
      <c r="G24" s="258" t="s">
        <v>320</v>
      </c>
    </row>
    <row r="25" spans="1:329">
      <c r="A25" s="530" t="s">
        <v>501</v>
      </c>
      <c r="B25" s="273" t="s">
        <v>327</v>
      </c>
      <c r="C25" s="277"/>
      <c r="D25" s="495" t="s">
        <v>328</v>
      </c>
      <c r="E25" s="293"/>
      <c r="F25" s="462">
        <v>1</v>
      </c>
      <c r="G25" s="258" t="s">
        <v>320</v>
      </c>
    </row>
    <row r="26" spans="1:329">
      <c r="A26" s="530" t="s">
        <v>500</v>
      </c>
      <c r="B26" s="277" t="s">
        <v>329</v>
      </c>
      <c r="C26" s="273"/>
      <c r="D26" s="815" t="s">
        <v>330</v>
      </c>
      <c r="E26" s="805"/>
      <c r="F26" s="462">
        <v>6</v>
      </c>
      <c r="G26" s="258" t="s">
        <v>320</v>
      </c>
    </row>
    <row r="27" spans="1:329">
      <c r="A27" s="530" t="s">
        <v>465</v>
      </c>
      <c r="B27" s="277" t="s">
        <v>331</v>
      </c>
      <c r="C27" s="273"/>
      <c r="D27" s="815" t="s">
        <v>332</v>
      </c>
      <c r="E27" s="805"/>
      <c r="F27" s="462">
        <v>1</v>
      </c>
      <c r="G27" s="258" t="s">
        <v>320</v>
      </c>
    </row>
    <row r="28" spans="1:329">
      <c r="A28" s="530" t="s">
        <v>465</v>
      </c>
      <c r="B28" s="277" t="s">
        <v>333</v>
      </c>
      <c r="C28" s="273"/>
      <c r="D28" s="815" t="s">
        <v>334</v>
      </c>
      <c r="E28" s="805"/>
      <c r="F28" s="462">
        <v>3</v>
      </c>
      <c r="G28" s="258" t="s">
        <v>320</v>
      </c>
    </row>
    <row r="29" spans="1:329">
      <c r="A29" s="530" t="s">
        <v>500</v>
      </c>
      <c r="B29" s="277" t="s">
        <v>335</v>
      </c>
      <c r="C29" s="273"/>
      <c r="D29" s="815" t="s">
        <v>336</v>
      </c>
      <c r="E29" s="805"/>
      <c r="F29" s="462">
        <v>2</v>
      </c>
      <c r="G29" s="258" t="s">
        <v>320</v>
      </c>
    </row>
    <row r="30" spans="1:329">
      <c r="A30" s="530" t="s">
        <v>500</v>
      </c>
      <c r="B30" s="273" t="s">
        <v>337</v>
      </c>
      <c r="C30" s="277"/>
      <c r="D30" s="804" t="s">
        <v>338</v>
      </c>
      <c r="E30" s="805"/>
      <c r="F30" s="462">
        <v>1</v>
      </c>
      <c r="G30" s="258" t="s">
        <v>320</v>
      </c>
    </row>
    <row r="31" spans="1:329">
      <c r="A31" s="530" t="s">
        <v>500</v>
      </c>
      <c r="B31" s="273" t="s">
        <v>339</v>
      </c>
      <c r="C31" s="277"/>
      <c r="D31" s="804" t="s">
        <v>340</v>
      </c>
      <c r="E31" s="805"/>
      <c r="F31" s="462">
        <v>1</v>
      </c>
      <c r="G31" s="258" t="s">
        <v>320</v>
      </c>
    </row>
    <row r="32" spans="1:329">
      <c r="A32" s="530" t="s">
        <v>465</v>
      </c>
      <c r="B32" s="277" t="s">
        <v>341</v>
      </c>
      <c r="C32" s="277"/>
      <c r="D32" s="806" t="str">
        <f>HYPERLINK("#"&amp;"HPSBIII.4_Ref","Stormwater Design, Quantity Control (HPSB GP3)")</f>
        <v>Stormwater Design, Quantity Control (HPSB GP3)</v>
      </c>
      <c r="E32" s="807"/>
      <c r="F32" s="462">
        <v>1</v>
      </c>
      <c r="G32" s="258" t="s">
        <v>320</v>
      </c>
    </row>
    <row r="33" spans="1:329">
      <c r="A33" s="530" t="s">
        <v>501</v>
      </c>
      <c r="B33" s="277" t="s">
        <v>342</v>
      </c>
      <c r="C33" s="277"/>
      <c r="D33" s="806" t="str">
        <f>HYPERLINK("#"&amp;"HPSBIII.4_Ref","Stormwater Design, Quality Control (HPSB GP3)")</f>
        <v>Stormwater Design, Quality Control (HPSB GP3)</v>
      </c>
      <c r="E33" s="807"/>
      <c r="F33" s="462">
        <v>1</v>
      </c>
      <c r="G33" s="258" t="s">
        <v>320</v>
      </c>
    </row>
    <row r="34" spans="1:329">
      <c r="A34" s="530" t="s">
        <v>465</v>
      </c>
      <c r="B34" s="294" t="s">
        <v>343</v>
      </c>
      <c r="C34" s="277"/>
      <c r="D34" s="496" t="s">
        <v>344</v>
      </c>
      <c r="E34" s="296"/>
      <c r="F34" s="462">
        <v>1</v>
      </c>
      <c r="G34" s="258" t="s">
        <v>320</v>
      </c>
    </row>
    <row r="35" spans="1:329">
      <c r="A35" s="530" t="s">
        <v>465</v>
      </c>
      <c r="B35" s="294" t="s">
        <v>345</v>
      </c>
      <c r="C35" s="277"/>
      <c r="D35" s="496" t="s">
        <v>346</v>
      </c>
      <c r="E35" s="296"/>
      <c r="F35" s="462">
        <v>1</v>
      </c>
      <c r="G35" s="258" t="s">
        <v>320</v>
      </c>
    </row>
    <row r="36" spans="1:329" s="297" customFormat="1">
      <c r="A36" s="530" t="s">
        <v>501</v>
      </c>
      <c r="B36" s="294" t="s">
        <v>347</v>
      </c>
      <c r="C36" s="277"/>
      <c r="D36" s="496" t="s">
        <v>348</v>
      </c>
      <c r="E36" s="295"/>
      <c r="F36" s="462">
        <v>1</v>
      </c>
      <c r="G36" s="258" t="s">
        <v>320</v>
      </c>
      <c r="H36" s="275"/>
      <c r="I36" s="275"/>
      <c r="J36" s="275"/>
      <c r="K36" s="275"/>
    </row>
    <row r="37" spans="1:329" s="297" customFormat="1">
      <c r="A37" s="531"/>
      <c r="B37" s="298"/>
      <c r="C37" s="278"/>
      <c r="D37" s="497"/>
      <c r="E37" s="299" t="s">
        <v>349</v>
      </c>
      <c r="F37" s="463"/>
      <c r="G37" s="258" t="s">
        <v>320</v>
      </c>
      <c r="H37" s="275" t="s">
        <v>348</v>
      </c>
      <c r="I37" s="277" t="s">
        <v>347</v>
      </c>
      <c r="J37" s="275"/>
      <c r="K37" s="275"/>
    </row>
    <row r="38" spans="1:329" s="259" customFormat="1">
      <c r="A38" s="532" t="s">
        <v>350</v>
      </c>
      <c r="B38" s="300"/>
      <c r="C38" s="300"/>
      <c r="D38" s="498"/>
      <c r="E38" s="268"/>
      <c r="F38" s="464"/>
      <c r="G38" s="258"/>
      <c r="H38" s="254"/>
      <c r="I38" s="254"/>
      <c r="J38" s="254"/>
      <c r="K38" s="254"/>
      <c r="N38" s="374"/>
      <c r="O38" s="374"/>
      <c r="P38" s="374"/>
      <c r="Q38" s="374"/>
      <c r="R38" s="374"/>
      <c r="S38" s="374"/>
      <c r="T38" s="374"/>
      <c r="U38" s="374"/>
      <c r="V38" s="374"/>
      <c r="W38" s="374"/>
      <c r="X38" s="374"/>
      <c r="Y38" s="374"/>
      <c r="Z38" s="374"/>
      <c r="AA38" s="374"/>
      <c r="AB38" s="374"/>
      <c r="AC38" s="374"/>
      <c r="AD38" s="374"/>
      <c r="AE38" s="374"/>
      <c r="AF38" s="374"/>
      <c r="AG38" s="374"/>
      <c r="AH38" s="374"/>
      <c r="AI38" s="374"/>
      <c r="AJ38" s="374"/>
      <c r="AK38" s="374"/>
      <c r="AL38" s="374"/>
      <c r="AM38" s="374"/>
      <c r="AN38" s="374"/>
      <c r="AO38" s="374"/>
      <c r="AP38" s="374"/>
      <c r="AQ38" s="374"/>
      <c r="AR38" s="374"/>
      <c r="AS38" s="374"/>
      <c r="AT38" s="374"/>
      <c r="AU38" s="374"/>
      <c r="AV38" s="374"/>
      <c r="AW38" s="374"/>
      <c r="AX38" s="374"/>
      <c r="AY38" s="374"/>
      <c r="AZ38" s="374"/>
      <c r="BA38" s="374"/>
      <c r="BB38" s="374"/>
      <c r="BC38" s="374"/>
      <c r="BD38" s="374"/>
      <c r="BE38" s="374"/>
      <c r="BF38" s="374"/>
      <c r="BG38" s="374"/>
      <c r="BH38" s="374"/>
      <c r="BI38" s="374"/>
      <c r="BJ38" s="374"/>
      <c r="BK38" s="374"/>
      <c r="BL38" s="374"/>
      <c r="BM38" s="374"/>
      <c r="BN38" s="374"/>
      <c r="BO38" s="374"/>
      <c r="BP38" s="374"/>
      <c r="BQ38" s="374"/>
      <c r="BR38" s="374"/>
      <c r="BS38" s="374"/>
      <c r="BT38" s="374"/>
      <c r="BU38" s="374"/>
      <c r="BV38" s="374"/>
      <c r="BW38" s="374"/>
      <c r="BX38" s="374"/>
      <c r="BY38" s="374"/>
      <c r="BZ38" s="374"/>
      <c r="CA38" s="374"/>
      <c r="CB38" s="374"/>
      <c r="CC38" s="374"/>
      <c r="CD38" s="374"/>
      <c r="CE38" s="374"/>
      <c r="CF38" s="374"/>
      <c r="CG38" s="374"/>
      <c r="CH38" s="374"/>
      <c r="CI38" s="374"/>
      <c r="CJ38" s="374"/>
      <c r="CK38" s="374"/>
      <c r="CL38" s="374"/>
      <c r="CM38" s="374"/>
      <c r="CN38" s="374"/>
      <c r="CO38" s="374"/>
      <c r="CP38" s="374"/>
      <c r="CQ38" s="374"/>
      <c r="CR38" s="374"/>
      <c r="CS38" s="374"/>
      <c r="CT38" s="374"/>
      <c r="CU38" s="374"/>
      <c r="CV38" s="374"/>
      <c r="CW38" s="374"/>
      <c r="CX38" s="374"/>
      <c r="CY38" s="374"/>
      <c r="CZ38" s="374"/>
      <c r="DA38" s="374"/>
      <c r="DB38" s="374"/>
      <c r="DC38" s="374"/>
      <c r="DD38" s="374"/>
      <c r="DE38" s="374"/>
      <c r="DF38" s="374"/>
      <c r="DG38" s="374"/>
      <c r="DH38" s="374"/>
      <c r="DI38" s="374"/>
      <c r="DJ38" s="374"/>
      <c r="DK38" s="374"/>
      <c r="DL38" s="374"/>
      <c r="DM38" s="374"/>
      <c r="DN38" s="374"/>
      <c r="DO38" s="374"/>
      <c r="DP38" s="374"/>
      <c r="DQ38" s="374"/>
      <c r="DR38" s="374"/>
      <c r="DS38" s="374"/>
      <c r="DT38" s="374"/>
      <c r="DU38" s="374"/>
      <c r="DV38" s="374"/>
      <c r="DW38" s="374"/>
      <c r="DX38" s="374"/>
      <c r="DY38" s="374"/>
      <c r="DZ38" s="374"/>
      <c r="EA38" s="374"/>
      <c r="EB38" s="374"/>
      <c r="EC38" s="374"/>
      <c r="ED38" s="374"/>
      <c r="EE38" s="374"/>
      <c r="EF38" s="374"/>
      <c r="EG38" s="374"/>
      <c r="EH38" s="374"/>
      <c r="EI38" s="374"/>
      <c r="EJ38" s="374"/>
      <c r="EK38" s="374"/>
      <c r="EL38" s="374"/>
      <c r="EM38" s="374"/>
      <c r="EN38" s="374"/>
      <c r="EO38" s="374"/>
      <c r="EP38" s="374"/>
      <c r="EQ38" s="374"/>
      <c r="ER38" s="374"/>
      <c r="ES38" s="374"/>
      <c r="ET38" s="374"/>
      <c r="EU38" s="374"/>
      <c r="EV38" s="374"/>
      <c r="EW38" s="374"/>
      <c r="EX38" s="374"/>
      <c r="EY38" s="374"/>
      <c r="EZ38" s="374"/>
      <c r="FA38" s="374"/>
      <c r="FB38" s="374"/>
      <c r="FC38" s="374"/>
      <c r="FD38" s="374"/>
      <c r="FE38" s="374"/>
      <c r="FF38" s="374"/>
      <c r="FG38" s="374"/>
      <c r="FH38" s="374"/>
      <c r="FI38" s="374"/>
      <c r="FJ38" s="374"/>
      <c r="FK38" s="374"/>
      <c r="FL38" s="374"/>
      <c r="FM38" s="374"/>
      <c r="FN38" s="374"/>
      <c r="FO38" s="374"/>
      <c r="FP38" s="374"/>
      <c r="FQ38" s="374"/>
      <c r="FR38" s="374"/>
      <c r="FS38" s="374"/>
      <c r="FT38" s="374"/>
      <c r="FU38" s="374"/>
      <c r="FV38" s="374"/>
      <c r="FW38" s="374"/>
      <c r="FX38" s="374"/>
      <c r="FY38" s="374"/>
      <c r="FZ38" s="374"/>
      <c r="GA38" s="374"/>
      <c r="GB38" s="374"/>
      <c r="GC38" s="374"/>
      <c r="GD38" s="374"/>
      <c r="GE38" s="374"/>
      <c r="GF38" s="374"/>
      <c r="GG38" s="374"/>
      <c r="GH38" s="374"/>
      <c r="GI38" s="374"/>
      <c r="GJ38" s="374"/>
      <c r="GK38" s="374"/>
      <c r="GL38" s="374"/>
      <c r="GM38" s="374"/>
      <c r="GN38" s="374"/>
      <c r="GO38" s="374"/>
      <c r="GP38" s="374"/>
      <c r="GQ38" s="374"/>
      <c r="GR38" s="374"/>
      <c r="GS38" s="374"/>
      <c r="GT38" s="374"/>
      <c r="GU38" s="374"/>
      <c r="GV38" s="374"/>
      <c r="GW38" s="374"/>
      <c r="GX38" s="374"/>
      <c r="GY38" s="374"/>
      <c r="GZ38" s="374"/>
      <c r="HA38" s="374"/>
      <c r="HB38" s="374"/>
      <c r="HC38" s="374"/>
      <c r="HD38" s="374"/>
      <c r="HE38" s="374"/>
      <c r="HF38" s="374"/>
      <c r="HG38" s="374"/>
      <c r="HH38" s="374"/>
      <c r="HI38" s="374"/>
      <c r="HJ38" s="374"/>
      <c r="HK38" s="374"/>
      <c r="HL38" s="374"/>
      <c r="HM38" s="374"/>
      <c r="HN38" s="374"/>
      <c r="HO38" s="374"/>
      <c r="HP38" s="374"/>
      <c r="HQ38" s="374"/>
      <c r="HR38" s="374"/>
      <c r="HS38" s="374"/>
      <c r="HT38" s="374"/>
      <c r="HU38" s="374"/>
      <c r="HV38" s="374"/>
      <c r="HW38" s="374"/>
      <c r="HX38" s="374"/>
      <c r="HY38" s="374"/>
      <c r="HZ38" s="374"/>
      <c r="IA38" s="374"/>
      <c r="IB38" s="374"/>
      <c r="IC38" s="374"/>
      <c r="ID38" s="374"/>
      <c r="IE38" s="374"/>
      <c r="IF38" s="374"/>
      <c r="IG38" s="374"/>
      <c r="IH38" s="374"/>
      <c r="II38" s="374"/>
      <c r="IJ38" s="374"/>
      <c r="IK38" s="374"/>
      <c r="IL38" s="374"/>
      <c r="IM38" s="374"/>
      <c r="IN38" s="374"/>
      <c r="IO38" s="374"/>
      <c r="IP38" s="374"/>
      <c r="IQ38" s="374"/>
      <c r="IR38" s="374"/>
      <c r="IS38" s="374"/>
      <c r="IT38" s="374"/>
      <c r="IU38" s="374"/>
      <c r="IV38" s="374"/>
      <c r="IW38" s="374"/>
      <c r="IX38" s="374"/>
      <c r="IY38" s="374"/>
      <c r="IZ38" s="374"/>
      <c r="JA38" s="374"/>
      <c r="JB38" s="374"/>
      <c r="JC38" s="374"/>
      <c r="JD38" s="374"/>
      <c r="JE38" s="374"/>
      <c r="JF38" s="374"/>
      <c r="JG38" s="374"/>
      <c r="JH38" s="374"/>
      <c r="JI38" s="374"/>
      <c r="JJ38" s="374"/>
      <c r="JK38" s="374"/>
      <c r="JL38" s="374"/>
      <c r="JM38" s="374"/>
      <c r="JN38" s="374"/>
      <c r="JO38" s="374"/>
      <c r="JP38" s="374"/>
      <c r="JQ38" s="374"/>
      <c r="JR38" s="374"/>
      <c r="JS38" s="374"/>
      <c r="JT38" s="374"/>
      <c r="JU38" s="374"/>
      <c r="JV38" s="374"/>
      <c r="JW38" s="374"/>
      <c r="JX38" s="374"/>
      <c r="JY38" s="374"/>
      <c r="JZ38" s="374"/>
      <c r="KA38" s="374"/>
      <c r="KB38" s="374"/>
      <c r="KC38" s="374"/>
      <c r="KD38" s="374"/>
      <c r="KE38" s="374"/>
      <c r="KF38" s="374"/>
      <c r="KG38" s="374"/>
      <c r="KH38" s="374"/>
      <c r="KI38" s="374"/>
      <c r="KJ38" s="374"/>
      <c r="KK38" s="374"/>
      <c r="KL38" s="374"/>
      <c r="KM38" s="374"/>
      <c r="KN38" s="374"/>
      <c r="KO38" s="374"/>
      <c r="KP38" s="374"/>
      <c r="KQ38" s="374"/>
      <c r="KR38" s="374"/>
      <c r="KS38" s="374"/>
      <c r="KT38" s="374"/>
      <c r="KU38" s="374"/>
      <c r="KV38" s="374"/>
      <c r="KW38" s="374"/>
      <c r="KX38" s="374"/>
      <c r="KY38" s="374"/>
      <c r="KZ38" s="374"/>
      <c r="LA38" s="374"/>
      <c r="LB38" s="374"/>
      <c r="LC38" s="374"/>
      <c r="LD38" s="374"/>
      <c r="LE38" s="374"/>
      <c r="LF38" s="374"/>
      <c r="LG38" s="374"/>
      <c r="LH38" s="374"/>
      <c r="LI38" s="374"/>
      <c r="LJ38" s="374"/>
      <c r="LK38" s="374"/>
      <c r="LL38" s="374"/>
      <c r="LM38" s="374"/>
      <c r="LN38" s="374"/>
      <c r="LO38" s="374"/>
      <c r="LP38" s="374"/>
      <c r="LQ38" s="374"/>
    </row>
    <row r="39" spans="1:329" s="259" customFormat="1">
      <c r="A39" s="528" t="s">
        <v>243</v>
      </c>
      <c r="B39" s="593">
        <f>SUM(A41,IF(A44="Yes",F44,0),A45)</f>
        <v>7</v>
      </c>
      <c r="C39" s="290"/>
      <c r="D39" s="493"/>
      <c r="E39" s="270" t="s">
        <v>244</v>
      </c>
      <c r="F39" s="460">
        <f>SUM(F41:F44,F46:F48)</f>
        <v>10</v>
      </c>
      <c r="G39" s="258"/>
      <c r="H39" s="254"/>
      <c r="I39" s="254"/>
      <c r="J39" s="254"/>
      <c r="K39" s="254"/>
      <c r="N39" s="374"/>
      <c r="O39" s="374"/>
      <c r="P39" s="374"/>
      <c r="Q39" s="374"/>
      <c r="R39" s="374"/>
      <c r="S39" s="374"/>
      <c r="T39" s="374"/>
      <c r="U39" s="374"/>
      <c r="V39" s="374"/>
      <c r="W39" s="374"/>
      <c r="X39" s="374"/>
      <c r="Y39" s="374"/>
      <c r="Z39" s="374"/>
      <c r="AA39" s="374"/>
      <c r="AB39" s="374"/>
      <c r="AC39" s="374"/>
      <c r="AD39" s="374"/>
      <c r="AE39" s="374"/>
      <c r="AF39" s="374"/>
      <c r="AG39" s="374"/>
      <c r="AH39" s="374"/>
      <c r="AI39" s="374"/>
      <c r="AJ39" s="374"/>
      <c r="AK39" s="374"/>
      <c r="AL39" s="374"/>
      <c r="AM39" s="374"/>
      <c r="AN39" s="374"/>
      <c r="AO39" s="374"/>
      <c r="AP39" s="374"/>
      <c r="AQ39" s="374"/>
      <c r="AR39" s="374"/>
      <c r="AS39" s="374"/>
      <c r="AT39" s="374"/>
      <c r="AU39" s="374"/>
      <c r="AV39" s="374"/>
      <c r="AW39" s="374"/>
      <c r="AX39" s="374"/>
      <c r="AY39" s="374"/>
      <c r="AZ39" s="374"/>
      <c r="BA39" s="374"/>
      <c r="BB39" s="374"/>
      <c r="BC39" s="374"/>
      <c r="BD39" s="374"/>
      <c r="BE39" s="374"/>
      <c r="BF39" s="374"/>
      <c r="BG39" s="374"/>
      <c r="BH39" s="374"/>
      <c r="BI39" s="374"/>
      <c r="BJ39" s="374"/>
      <c r="BK39" s="374"/>
      <c r="BL39" s="374"/>
      <c r="BM39" s="374"/>
      <c r="BN39" s="374"/>
      <c r="BO39" s="374"/>
      <c r="BP39" s="374"/>
      <c r="BQ39" s="374"/>
      <c r="BR39" s="374"/>
      <c r="BS39" s="374"/>
      <c r="BT39" s="374"/>
      <c r="BU39" s="374"/>
      <c r="BV39" s="374"/>
      <c r="BW39" s="374"/>
      <c r="BX39" s="374"/>
      <c r="BY39" s="374"/>
      <c r="BZ39" s="374"/>
      <c r="CA39" s="374"/>
      <c r="CB39" s="374"/>
      <c r="CC39" s="374"/>
      <c r="CD39" s="374"/>
      <c r="CE39" s="374"/>
      <c r="CF39" s="374"/>
      <c r="CG39" s="374"/>
      <c r="CH39" s="374"/>
      <c r="CI39" s="374"/>
      <c r="CJ39" s="374"/>
      <c r="CK39" s="374"/>
      <c r="CL39" s="374"/>
      <c r="CM39" s="374"/>
      <c r="CN39" s="374"/>
      <c r="CO39" s="374"/>
      <c r="CP39" s="374"/>
      <c r="CQ39" s="374"/>
      <c r="CR39" s="374"/>
      <c r="CS39" s="374"/>
      <c r="CT39" s="374"/>
      <c r="CU39" s="374"/>
      <c r="CV39" s="374"/>
      <c r="CW39" s="374"/>
      <c r="CX39" s="374"/>
      <c r="CY39" s="374"/>
      <c r="CZ39" s="374"/>
      <c r="DA39" s="374"/>
      <c r="DB39" s="374"/>
      <c r="DC39" s="374"/>
      <c r="DD39" s="374"/>
      <c r="DE39" s="374"/>
      <c r="DF39" s="374"/>
      <c r="DG39" s="374"/>
      <c r="DH39" s="374"/>
      <c r="DI39" s="374"/>
      <c r="DJ39" s="374"/>
      <c r="DK39" s="374"/>
      <c r="DL39" s="374"/>
      <c r="DM39" s="374"/>
      <c r="DN39" s="374"/>
      <c r="DO39" s="374"/>
      <c r="DP39" s="374"/>
      <c r="DQ39" s="374"/>
      <c r="DR39" s="374"/>
      <c r="DS39" s="374"/>
      <c r="DT39" s="374"/>
      <c r="DU39" s="374"/>
      <c r="DV39" s="374"/>
      <c r="DW39" s="374"/>
      <c r="DX39" s="374"/>
      <c r="DY39" s="374"/>
      <c r="DZ39" s="374"/>
      <c r="EA39" s="374"/>
      <c r="EB39" s="374"/>
      <c r="EC39" s="374"/>
      <c r="ED39" s="374"/>
      <c r="EE39" s="374"/>
      <c r="EF39" s="374"/>
      <c r="EG39" s="374"/>
      <c r="EH39" s="374"/>
      <c r="EI39" s="374"/>
      <c r="EJ39" s="374"/>
      <c r="EK39" s="374"/>
      <c r="EL39" s="374"/>
      <c r="EM39" s="374"/>
      <c r="EN39" s="374"/>
      <c r="EO39" s="374"/>
      <c r="EP39" s="374"/>
      <c r="EQ39" s="374"/>
      <c r="ER39" s="374"/>
      <c r="ES39" s="374"/>
      <c r="ET39" s="374"/>
      <c r="EU39" s="374"/>
      <c r="EV39" s="374"/>
      <c r="EW39" s="374"/>
      <c r="EX39" s="374"/>
      <c r="EY39" s="374"/>
      <c r="EZ39" s="374"/>
      <c r="FA39" s="374"/>
      <c r="FB39" s="374"/>
      <c r="FC39" s="374"/>
      <c r="FD39" s="374"/>
      <c r="FE39" s="374"/>
      <c r="FF39" s="374"/>
      <c r="FG39" s="374"/>
      <c r="FH39" s="374"/>
      <c r="FI39" s="374"/>
      <c r="FJ39" s="374"/>
      <c r="FK39" s="374"/>
      <c r="FL39" s="374"/>
      <c r="FM39" s="374"/>
      <c r="FN39" s="374"/>
      <c r="FO39" s="374"/>
      <c r="FP39" s="374"/>
      <c r="FQ39" s="374"/>
      <c r="FR39" s="374"/>
      <c r="FS39" s="374"/>
      <c r="FT39" s="374"/>
      <c r="FU39" s="374"/>
      <c r="FV39" s="374"/>
      <c r="FW39" s="374"/>
      <c r="FX39" s="374"/>
      <c r="FY39" s="374"/>
      <c r="FZ39" s="374"/>
      <c r="GA39" s="374"/>
      <c r="GB39" s="374"/>
      <c r="GC39" s="374"/>
      <c r="GD39" s="374"/>
      <c r="GE39" s="374"/>
      <c r="GF39" s="374"/>
      <c r="GG39" s="374"/>
      <c r="GH39" s="374"/>
      <c r="GI39" s="374"/>
      <c r="GJ39" s="374"/>
      <c r="GK39" s="374"/>
      <c r="GL39" s="374"/>
      <c r="GM39" s="374"/>
      <c r="GN39" s="374"/>
      <c r="GO39" s="374"/>
      <c r="GP39" s="374"/>
      <c r="GQ39" s="374"/>
      <c r="GR39" s="374"/>
      <c r="GS39" s="374"/>
      <c r="GT39" s="374"/>
      <c r="GU39" s="374"/>
      <c r="GV39" s="374"/>
      <c r="GW39" s="374"/>
      <c r="GX39" s="374"/>
      <c r="GY39" s="374"/>
      <c r="GZ39" s="374"/>
      <c r="HA39" s="374"/>
      <c r="HB39" s="374"/>
      <c r="HC39" s="374"/>
      <c r="HD39" s="374"/>
      <c r="HE39" s="374"/>
      <c r="HF39" s="374"/>
      <c r="HG39" s="374"/>
      <c r="HH39" s="374"/>
      <c r="HI39" s="374"/>
      <c r="HJ39" s="374"/>
      <c r="HK39" s="374"/>
      <c r="HL39" s="374"/>
      <c r="HM39" s="374"/>
      <c r="HN39" s="374"/>
      <c r="HO39" s="374"/>
      <c r="HP39" s="374"/>
      <c r="HQ39" s="374"/>
      <c r="HR39" s="374"/>
      <c r="HS39" s="374"/>
      <c r="HT39" s="374"/>
      <c r="HU39" s="374"/>
      <c r="HV39" s="374"/>
      <c r="HW39" s="374"/>
      <c r="HX39" s="374"/>
      <c r="HY39" s="374"/>
      <c r="HZ39" s="374"/>
      <c r="IA39" s="374"/>
      <c r="IB39" s="374"/>
      <c r="IC39" s="374"/>
      <c r="ID39" s="374"/>
      <c r="IE39" s="374"/>
      <c r="IF39" s="374"/>
      <c r="IG39" s="374"/>
      <c r="IH39" s="374"/>
      <c r="II39" s="374"/>
      <c r="IJ39" s="374"/>
      <c r="IK39" s="374"/>
      <c r="IL39" s="374"/>
      <c r="IM39" s="374"/>
      <c r="IN39" s="374"/>
      <c r="IO39" s="374"/>
      <c r="IP39" s="374"/>
      <c r="IQ39" s="374"/>
      <c r="IR39" s="374"/>
      <c r="IS39" s="374"/>
      <c r="IT39" s="374"/>
      <c r="IU39" s="374"/>
      <c r="IV39" s="374"/>
      <c r="IW39" s="374"/>
      <c r="IX39" s="374"/>
      <c r="IY39" s="374"/>
      <c r="IZ39" s="374"/>
      <c r="JA39" s="374"/>
      <c r="JB39" s="374"/>
      <c r="JC39" s="374"/>
      <c r="JD39" s="374"/>
      <c r="JE39" s="374"/>
      <c r="JF39" s="374"/>
      <c r="JG39" s="374"/>
      <c r="JH39" s="374"/>
      <c r="JI39" s="374"/>
      <c r="JJ39" s="374"/>
      <c r="JK39" s="374"/>
      <c r="JL39" s="374"/>
      <c r="JM39" s="374"/>
      <c r="JN39" s="374"/>
      <c r="JO39" s="374"/>
      <c r="JP39" s="374"/>
      <c r="JQ39" s="374"/>
      <c r="JR39" s="374"/>
      <c r="JS39" s="374"/>
      <c r="JT39" s="374"/>
      <c r="JU39" s="374"/>
      <c r="JV39" s="374"/>
      <c r="JW39" s="374"/>
      <c r="JX39" s="374"/>
      <c r="JY39" s="374"/>
      <c r="JZ39" s="374"/>
      <c r="KA39" s="374"/>
      <c r="KB39" s="374"/>
      <c r="KC39" s="374"/>
      <c r="KD39" s="374"/>
      <c r="KE39" s="374"/>
      <c r="KF39" s="374"/>
      <c r="KG39" s="374"/>
      <c r="KH39" s="374"/>
      <c r="KI39" s="374"/>
      <c r="KJ39" s="374"/>
      <c r="KK39" s="374"/>
      <c r="KL39" s="374"/>
      <c r="KM39" s="374"/>
      <c r="KN39" s="374"/>
      <c r="KO39" s="374"/>
      <c r="KP39" s="374"/>
      <c r="KQ39" s="374"/>
      <c r="KR39" s="374"/>
      <c r="KS39" s="374"/>
      <c r="KT39" s="374"/>
      <c r="KU39" s="374"/>
      <c r="KV39" s="374"/>
      <c r="KW39" s="374"/>
      <c r="KX39" s="374"/>
      <c r="KY39" s="374"/>
      <c r="KZ39" s="374"/>
      <c r="LA39" s="374"/>
      <c r="LB39" s="374"/>
      <c r="LC39" s="374"/>
      <c r="LD39" s="374"/>
      <c r="LE39" s="374"/>
      <c r="LF39" s="374"/>
      <c r="LG39" s="374"/>
      <c r="LH39" s="374"/>
      <c r="LI39" s="374"/>
      <c r="LJ39" s="374"/>
      <c r="LK39" s="374"/>
      <c r="LL39" s="374"/>
      <c r="LM39" s="374"/>
      <c r="LN39" s="374"/>
      <c r="LO39" s="374"/>
      <c r="LP39" s="374"/>
      <c r="LQ39" s="374"/>
    </row>
    <row r="40" spans="1:329">
      <c r="A40" s="529" t="s">
        <v>465</v>
      </c>
      <c r="B40" s="301" t="s">
        <v>351</v>
      </c>
      <c r="C40" s="276"/>
      <c r="D40" s="822" t="str">
        <f>HYPERLINK("#"&amp;"HPSBIII.1_Ref","Water Use Reduction - 20% Reduction (HPSB GP3)")</f>
        <v>Water Use Reduction - 20% Reduction (HPSB GP3)</v>
      </c>
      <c r="E40" s="823"/>
      <c r="F40" s="461" t="s">
        <v>322</v>
      </c>
      <c r="G40" s="258" t="s">
        <v>350</v>
      </c>
    </row>
    <row r="41" spans="1:329" ht="12.75" customHeight="1">
      <c r="A41" s="533">
        <v>4</v>
      </c>
      <c r="B41" s="294" t="s">
        <v>323</v>
      </c>
      <c r="C41" s="277"/>
      <c r="D41" s="499" t="str">
        <f>HYPERLINK("#"&amp;"HPSBIII.2_Ref","Water Efficient Landscaping (HPSB GP3)")</f>
        <v>Water Efficient Landscaping (HPSB GP3)</v>
      </c>
      <c r="E41" s="227"/>
      <c r="F41" s="465" t="s">
        <v>352</v>
      </c>
      <c r="G41" s="258" t="s">
        <v>350</v>
      </c>
    </row>
    <row r="42" spans="1:329" ht="12.75" customHeight="1">
      <c r="A42" s="534"/>
      <c r="B42" s="302"/>
      <c r="C42" s="277"/>
      <c r="D42" s="500">
        <v>2</v>
      </c>
      <c r="E42" s="228" t="s">
        <v>353</v>
      </c>
      <c r="F42" s="462">
        <v>2</v>
      </c>
      <c r="G42" s="258" t="s">
        <v>350</v>
      </c>
      <c r="H42" s="254" t="s">
        <v>354</v>
      </c>
      <c r="I42" s="254" t="s">
        <v>323</v>
      </c>
    </row>
    <row r="43" spans="1:329" ht="12.75" customHeight="1">
      <c r="A43" s="534"/>
      <c r="B43" s="302"/>
      <c r="C43" s="277"/>
      <c r="D43" s="500">
        <v>4</v>
      </c>
      <c r="E43" s="303" t="s">
        <v>355</v>
      </c>
      <c r="F43" s="462">
        <v>2</v>
      </c>
      <c r="G43" s="258" t="s">
        <v>350</v>
      </c>
      <c r="H43" s="254" t="s">
        <v>354</v>
      </c>
      <c r="I43" s="254" t="s">
        <v>323</v>
      </c>
    </row>
    <row r="44" spans="1:329">
      <c r="A44" s="530"/>
      <c r="B44" s="294" t="s">
        <v>325</v>
      </c>
      <c r="C44" s="277"/>
      <c r="D44" s="815" t="s">
        <v>356</v>
      </c>
      <c r="E44" s="815"/>
      <c r="F44" s="462">
        <v>2</v>
      </c>
      <c r="G44" s="258" t="s">
        <v>350</v>
      </c>
    </row>
    <row r="45" spans="1:329">
      <c r="A45" s="533">
        <v>3</v>
      </c>
      <c r="B45" s="294" t="s">
        <v>327</v>
      </c>
      <c r="C45" s="277"/>
      <c r="D45" s="501" t="str">
        <f>HYPERLINK("#"&amp;"HPSBIII.1_Ref","Water Use Reduction (HPSB GP3)")</f>
        <v>Water Use Reduction (HPSB GP3)</v>
      </c>
      <c r="E45" s="293"/>
      <c r="F45" s="465" t="s">
        <v>352</v>
      </c>
      <c r="G45" s="258" t="s">
        <v>350</v>
      </c>
    </row>
    <row r="46" spans="1:329" s="297" customFormat="1">
      <c r="A46" s="535"/>
      <c r="B46" s="260"/>
      <c r="C46" s="277"/>
      <c r="D46" s="500">
        <v>2</v>
      </c>
      <c r="E46" s="303" t="s">
        <v>357</v>
      </c>
      <c r="F46" s="466">
        <v>2</v>
      </c>
      <c r="G46" s="258" t="s">
        <v>350</v>
      </c>
      <c r="H46" s="304" t="s">
        <v>358</v>
      </c>
      <c r="I46" s="275" t="s">
        <v>327</v>
      </c>
      <c r="J46" s="275"/>
      <c r="K46" s="275"/>
    </row>
    <row r="47" spans="1:329" s="297" customFormat="1">
      <c r="A47" s="535"/>
      <c r="B47" s="260"/>
      <c r="C47" s="277"/>
      <c r="D47" s="500">
        <v>3</v>
      </c>
      <c r="E47" s="303" t="s">
        <v>359</v>
      </c>
      <c r="F47" s="466">
        <v>1</v>
      </c>
      <c r="G47" s="258" t="s">
        <v>350</v>
      </c>
      <c r="H47" s="304" t="s">
        <v>358</v>
      </c>
      <c r="I47" s="275" t="s">
        <v>327</v>
      </c>
      <c r="J47" s="275"/>
      <c r="K47" s="275"/>
    </row>
    <row r="48" spans="1:329" s="297" customFormat="1">
      <c r="A48" s="536"/>
      <c r="B48" s="298"/>
      <c r="C48" s="278"/>
      <c r="D48" s="500">
        <v>4</v>
      </c>
      <c r="E48" s="305" t="s">
        <v>360</v>
      </c>
      <c r="F48" s="467">
        <v>1</v>
      </c>
      <c r="G48" s="258" t="s">
        <v>350</v>
      </c>
      <c r="H48" s="304" t="s">
        <v>358</v>
      </c>
      <c r="I48" s="275" t="s">
        <v>327</v>
      </c>
      <c r="J48" s="275"/>
      <c r="K48" s="275"/>
    </row>
    <row r="49" spans="1:329" s="259" customFormat="1">
      <c r="A49" s="527" t="s">
        <v>361</v>
      </c>
      <c r="B49" s="288"/>
      <c r="C49" s="288"/>
      <c r="D49" s="492"/>
      <c r="E49" s="272"/>
      <c r="F49" s="468"/>
      <c r="G49" s="258"/>
      <c r="H49" s="254"/>
      <c r="I49" s="254"/>
      <c r="J49" s="254"/>
      <c r="K49" s="254"/>
      <c r="N49" s="374"/>
      <c r="O49" s="374"/>
      <c r="P49" s="374"/>
      <c r="Q49" s="374"/>
      <c r="R49" s="374"/>
      <c r="S49" s="374"/>
      <c r="T49" s="374"/>
      <c r="U49" s="374"/>
      <c r="V49" s="374"/>
      <c r="W49" s="374"/>
      <c r="X49" s="374"/>
      <c r="Y49" s="374"/>
      <c r="Z49" s="374"/>
      <c r="AA49" s="374"/>
      <c r="AB49" s="374"/>
      <c r="AC49" s="374"/>
      <c r="AD49" s="374"/>
      <c r="AE49" s="374"/>
      <c r="AF49" s="374"/>
      <c r="AG49" s="374"/>
      <c r="AH49" s="374"/>
      <c r="AI49" s="374"/>
      <c r="AJ49" s="374"/>
      <c r="AK49" s="374"/>
      <c r="AL49" s="374"/>
      <c r="AM49" s="374"/>
      <c r="AN49" s="374"/>
      <c r="AO49" s="374"/>
      <c r="AP49" s="374"/>
      <c r="AQ49" s="374"/>
      <c r="AR49" s="374"/>
      <c r="AS49" s="374"/>
      <c r="AT49" s="374"/>
      <c r="AU49" s="374"/>
      <c r="AV49" s="374"/>
      <c r="AW49" s="374"/>
      <c r="AX49" s="374"/>
      <c r="AY49" s="374"/>
      <c r="AZ49" s="374"/>
      <c r="BA49" s="374"/>
      <c r="BB49" s="374"/>
      <c r="BC49" s="374"/>
      <c r="BD49" s="374"/>
      <c r="BE49" s="374"/>
      <c r="BF49" s="374"/>
      <c r="BG49" s="374"/>
      <c r="BH49" s="374"/>
      <c r="BI49" s="374"/>
      <c r="BJ49" s="374"/>
      <c r="BK49" s="374"/>
      <c r="BL49" s="374"/>
      <c r="BM49" s="374"/>
      <c r="BN49" s="374"/>
      <c r="BO49" s="374"/>
      <c r="BP49" s="374"/>
      <c r="BQ49" s="374"/>
      <c r="BR49" s="374"/>
      <c r="BS49" s="374"/>
      <c r="BT49" s="374"/>
      <c r="BU49" s="374"/>
      <c r="BV49" s="374"/>
      <c r="BW49" s="374"/>
      <c r="BX49" s="374"/>
      <c r="BY49" s="374"/>
      <c r="BZ49" s="374"/>
      <c r="CA49" s="374"/>
      <c r="CB49" s="374"/>
      <c r="CC49" s="374"/>
      <c r="CD49" s="374"/>
      <c r="CE49" s="374"/>
      <c r="CF49" s="374"/>
      <c r="CG49" s="374"/>
      <c r="CH49" s="374"/>
      <c r="CI49" s="374"/>
      <c r="CJ49" s="374"/>
      <c r="CK49" s="374"/>
      <c r="CL49" s="374"/>
      <c r="CM49" s="374"/>
      <c r="CN49" s="374"/>
      <c r="CO49" s="374"/>
      <c r="CP49" s="374"/>
      <c r="CQ49" s="374"/>
      <c r="CR49" s="374"/>
      <c r="CS49" s="374"/>
      <c r="CT49" s="374"/>
      <c r="CU49" s="374"/>
      <c r="CV49" s="374"/>
      <c r="CW49" s="374"/>
      <c r="CX49" s="374"/>
      <c r="CY49" s="374"/>
      <c r="CZ49" s="374"/>
      <c r="DA49" s="374"/>
      <c r="DB49" s="374"/>
      <c r="DC49" s="374"/>
      <c r="DD49" s="374"/>
      <c r="DE49" s="374"/>
      <c r="DF49" s="374"/>
      <c r="DG49" s="374"/>
      <c r="DH49" s="374"/>
      <c r="DI49" s="374"/>
      <c r="DJ49" s="374"/>
      <c r="DK49" s="374"/>
      <c r="DL49" s="374"/>
      <c r="DM49" s="374"/>
      <c r="DN49" s="374"/>
      <c r="DO49" s="374"/>
      <c r="DP49" s="374"/>
      <c r="DQ49" s="374"/>
      <c r="DR49" s="374"/>
      <c r="DS49" s="374"/>
      <c r="DT49" s="374"/>
      <c r="DU49" s="374"/>
      <c r="DV49" s="374"/>
      <c r="DW49" s="374"/>
      <c r="DX49" s="374"/>
      <c r="DY49" s="374"/>
      <c r="DZ49" s="374"/>
      <c r="EA49" s="374"/>
      <c r="EB49" s="374"/>
      <c r="EC49" s="374"/>
      <c r="ED49" s="374"/>
      <c r="EE49" s="374"/>
      <c r="EF49" s="374"/>
      <c r="EG49" s="374"/>
      <c r="EH49" s="374"/>
      <c r="EI49" s="374"/>
      <c r="EJ49" s="374"/>
      <c r="EK49" s="374"/>
      <c r="EL49" s="374"/>
      <c r="EM49" s="374"/>
      <c r="EN49" s="374"/>
      <c r="EO49" s="374"/>
      <c r="EP49" s="374"/>
      <c r="EQ49" s="374"/>
      <c r="ER49" s="374"/>
      <c r="ES49" s="374"/>
      <c r="ET49" s="374"/>
      <c r="EU49" s="374"/>
      <c r="EV49" s="374"/>
      <c r="EW49" s="374"/>
      <c r="EX49" s="374"/>
      <c r="EY49" s="374"/>
      <c r="EZ49" s="374"/>
      <c r="FA49" s="374"/>
      <c r="FB49" s="374"/>
      <c r="FC49" s="374"/>
      <c r="FD49" s="374"/>
      <c r="FE49" s="374"/>
      <c r="FF49" s="374"/>
      <c r="FG49" s="374"/>
      <c r="FH49" s="374"/>
      <c r="FI49" s="374"/>
      <c r="FJ49" s="374"/>
      <c r="FK49" s="374"/>
      <c r="FL49" s="374"/>
      <c r="FM49" s="374"/>
      <c r="FN49" s="374"/>
      <c r="FO49" s="374"/>
      <c r="FP49" s="374"/>
      <c r="FQ49" s="374"/>
      <c r="FR49" s="374"/>
      <c r="FS49" s="374"/>
      <c r="FT49" s="374"/>
      <c r="FU49" s="374"/>
      <c r="FV49" s="374"/>
      <c r="FW49" s="374"/>
      <c r="FX49" s="374"/>
      <c r="FY49" s="374"/>
      <c r="FZ49" s="374"/>
      <c r="GA49" s="374"/>
      <c r="GB49" s="374"/>
      <c r="GC49" s="374"/>
      <c r="GD49" s="374"/>
      <c r="GE49" s="374"/>
      <c r="GF49" s="374"/>
      <c r="GG49" s="374"/>
      <c r="GH49" s="374"/>
      <c r="GI49" s="374"/>
      <c r="GJ49" s="374"/>
      <c r="GK49" s="374"/>
      <c r="GL49" s="374"/>
      <c r="GM49" s="374"/>
      <c r="GN49" s="374"/>
      <c r="GO49" s="374"/>
      <c r="GP49" s="374"/>
      <c r="GQ49" s="374"/>
      <c r="GR49" s="374"/>
      <c r="GS49" s="374"/>
      <c r="GT49" s="374"/>
      <c r="GU49" s="374"/>
      <c r="GV49" s="374"/>
      <c r="GW49" s="374"/>
      <c r="GX49" s="374"/>
      <c r="GY49" s="374"/>
      <c r="GZ49" s="374"/>
      <c r="HA49" s="374"/>
      <c r="HB49" s="374"/>
      <c r="HC49" s="374"/>
      <c r="HD49" s="374"/>
      <c r="HE49" s="374"/>
      <c r="HF49" s="374"/>
      <c r="HG49" s="374"/>
      <c r="HH49" s="374"/>
      <c r="HI49" s="374"/>
      <c r="HJ49" s="374"/>
      <c r="HK49" s="374"/>
      <c r="HL49" s="374"/>
      <c r="HM49" s="374"/>
      <c r="HN49" s="374"/>
      <c r="HO49" s="374"/>
      <c r="HP49" s="374"/>
      <c r="HQ49" s="374"/>
      <c r="HR49" s="374"/>
      <c r="HS49" s="374"/>
      <c r="HT49" s="374"/>
      <c r="HU49" s="374"/>
      <c r="HV49" s="374"/>
      <c r="HW49" s="374"/>
      <c r="HX49" s="374"/>
      <c r="HY49" s="374"/>
      <c r="HZ49" s="374"/>
      <c r="IA49" s="374"/>
      <c r="IB49" s="374"/>
      <c r="IC49" s="374"/>
      <c r="ID49" s="374"/>
      <c r="IE49" s="374"/>
      <c r="IF49" s="374"/>
      <c r="IG49" s="374"/>
      <c r="IH49" s="374"/>
      <c r="II49" s="374"/>
      <c r="IJ49" s="374"/>
      <c r="IK49" s="374"/>
      <c r="IL49" s="374"/>
      <c r="IM49" s="374"/>
      <c r="IN49" s="374"/>
      <c r="IO49" s="374"/>
      <c r="IP49" s="374"/>
      <c r="IQ49" s="374"/>
      <c r="IR49" s="374"/>
      <c r="IS49" s="374"/>
      <c r="IT49" s="374"/>
      <c r="IU49" s="374"/>
      <c r="IV49" s="374"/>
      <c r="IW49" s="374"/>
      <c r="IX49" s="374"/>
      <c r="IY49" s="374"/>
      <c r="IZ49" s="374"/>
      <c r="JA49" s="374"/>
      <c r="JB49" s="374"/>
      <c r="JC49" s="374"/>
      <c r="JD49" s="374"/>
      <c r="JE49" s="374"/>
      <c r="JF49" s="374"/>
      <c r="JG49" s="374"/>
      <c r="JH49" s="374"/>
      <c r="JI49" s="374"/>
      <c r="JJ49" s="374"/>
      <c r="JK49" s="374"/>
      <c r="JL49" s="374"/>
      <c r="JM49" s="374"/>
      <c r="JN49" s="374"/>
      <c r="JO49" s="374"/>
      <c r="JP49" s="374"/>
      <c r="JQ49" s="374"/>
      <c r="JR49" s="374"/>
      <c r="JS49" s="374"/>
      <c r="JT49" s="374"/>
      <c r="JU49" s="374"/>
      <c r="JV49" s="374"/>
      <c r="JW49" s="374"/>
      <c r="JX49" s="374"/>
      <c r="JY49" s="374"/>
      <c r="JZ49" s="374"/>
      <c r="KA49" s="374"/>
      <c r="KB49" s="374"/>
      <c r="KC49" s="374"/>
      <c r="KD49" s="374"/>
      <c r="KE49" s="374"/>
      <c r="KF49" s="374"/>
      <c r="KG49" s="374"/>
      <c r="KH49" s="374"/>
      <c r="KI49" s="374"/>
      <c r="KJ49" s="374"/>
      <c r="KK49" s="374"/>
      <c r="KL49" s="374"/>
      <c r="KM49" s="374"/>
      <c r="KN49" s="374"/>
      <c r="KO49" s="374"/>
      <c r="KP49" s="374"/>
      <c r="KQ49" s="374"/>
      <c r="KR49" s="374"/>
      <c r="KS49" s="374"/>
      <c r="KT49" s="374"/>
      <c r="KU49" s="374"/>
      <c r="KV49" s="374"/>
      <c r="KW49" s="374"/>
      <c r="KX49" s="374"/>
      <c r="KY49" s="374"/>
      <c r="KZ49" s="374"/>
      <c r="LA49" s="374"/>
      <c r="LB49" s="374"/>
      <c r="LC49" s="374"/>
      <c r="LD49" s="374"/>
      <c r="LE49" s="374"/>
      <c r="LF49" s="374"/>
      <c r="LG49" s="374"/>
      <c r="LH49" s="374"/>
      <c r="LI49" s="374"/>
      <c r="LJ49" s="374"/>
      <c r="LK49" s="374"/>
      <c r="LL49" s="374"/>
      <c r="LM49" s="374"/>
      <c r="LN49" s="374"/>
      <c r="LO49" s="374"/>
      <c r="LP49" s="374"/>
      <c r="LQ49" s="374"/>
    </row>
    <row r="50" spans="1:329" s="259" customFormat="1">
      <c r="A50" s="528" t="s">
        <v>243</v>
      </c>
      <c r="B50" s="593">
        <f>SUM((A54)+(A74)+IF(A82="Yes",F82,0)+IF(A83="Yes",F83,0)+IF(A84="Yes",F84,0))+IF(A85="Yes",F85,0)</f>
        <v>14</v>
      </c>
      <c r="C50" s="290"/>
      <c r="D50" s="493"/>
      <c r="E50" s="270" t="s">
        <v>244</v>
      </c>
      <c r="F50" s="460">
        <f>SUM(F55:F73,F75:F85)</f>
        <v>35</v>
      </c>
      <c r="G50" s="258"/>
      <c r="H50" s="254"/>
      <c r="I50" s="254"/>
      <c r="J50" s="254"/>
      <c r="K50" s="254"/>
      <c r="N50" s="374"/>
      <c r="O50" s="374"/>
      <c r="P50" s="374"/>
      <c r="Q50" s="374"/>
      <c r="R50" s="374"/>
      <c r="S50" s="374"/>
      <c r="T50" s="374"/>
      <c r="U50" s="374"/>
      <c r="V50" s="374"/>
      <c r="W50" s="374"/>
      <c r="X50" s="374"/>
      <c r="Y50" s="374"/>
      <c r="Z50" s="374"/>
      <c r="AA50" s="374"/>
      <c r="AB50" s="374"/>
      <c r="AC50" s="374"/>
      <c r="AD50" s="374"/>
      <c r="AE50" s="374"/>
      <c r="AF50" s="374"/>
      <c r="AG50" s="374"/>
      <c r="AH50" s="374"/>
      <c r="AI50" s="374"/>
      <c r="AJ50" s="374"/>
      <c r="AK50" s="374"/>
      <c r="AL50" s="374"/>
      <c r="AM50" s="374"/>
      <c r="AN50" s="374"/>
      <c r="AO50" s="374"/>
      <c r="AP50" s="374"/>
      <c r="AQ50" s="374"/>
      <c r="AR50" s="374"/>
      <c r="AS50" s="374"/>
      <c r="AT50" s="374"/>
      <c r="AU50" s="374"/>
      <c r="AV50" s="374"/>
      <c r="AW50" s="374"/>
      <c r="AX50" s="374"/>
      <c r="AY50" s="374"/>
      <c r="AZ50" s="374"/>
      <c r="BA50" s="374"/>
      <c r="BB50" s="374"/>
      <c r="BC50" s="374"/>
      <c r="BD50" s="374"/>
      <c r="BE50" s="374"/>
      <c r="BF50" s="374"/>
      <c r="BG50" s="374"/>
      <c r="BH50" s="374"/>
      <c r="BI50" s="374"/>
      <c r="BJ50" s="374"/>
      <c r="BK50" s="374"/>
      <c r="BL50" s="374"/>
      <c r="BM50" s="374"/>
      <c r="BN50" s="374"/>
      <c r="BO50" s="374"/>
      <c r="BP50" s="374"/>
      <c r="BQ50" s="374"/>
      <c r="BR50" s="374"/>
      <c r="BS50" s="374"/>
      <c r="BT50" s="374"/>
      <c r="BU50" s="374"/>
      <c r="BV50" s="374"/>
      <c r="BW50" s="374"/>
      <c r="BX50" s="374"/>
      <c r="BY50" s="374"/>
      <c r="BZ50" s="374"/>
      <c r="CA50" s="374"/>
      <c r="CB50" s="374"/>
      <c r="CC50" s="374"/>
      <c r="CD50" s="374"/>
      <c r="CE50" s="374"/>
      <c r="CF50" s="374"/>
      <c r="CG50" s="374"/>
      <c r="CH50" s="374"/>
      <c r="CI50" s="374"/>
      <c r="CJ50" s="374"/>
      <c r="CK50" s="374"/>
      <c r="CL50" s="374"/>
      <c r="CM50" s="374"/>
      <c r="CN50" s="374"/>
      <c r="CO50" s="374"/>
      <c r="CP50" s="374"/>
      <c r="CQ50" s="374"/>
      <c r="CR50" s="374"/>
      <c r="CS50" s="374"/>
      <c r="CT50" s="374"/>
      <c r="CU50" s="374"/>
      <c r="CV50" s="374"/>
      <c r="CW50" s="374"/>
      <c r="CX50" s="374"/>
      <c r="CY50" s="374"/>
      <c r="CZ50" s="374"/>
      <c r="DA50" s="374"/>
      <c r="DB50" s="374"/>
      <c r="DC50" s="374"/>
      <c r="DD50" s="374"/>
      <c r="DE50" s="374"/>
      <c r="DF50" s="374"/>
      <c r="DG50" s="374"/>
      <c r="DH50" s="374"/>
      <c r="DI50" s="374"/>
      <c r="DJ50" s="374"/>
      <c r="DK50" s="374"/>
      <c r="DL50" s="374"/>
      <c r="DM50" s="374"/>
      <c r="DN50" s="374"/>
      <c r="DO50" s="374"/>
      <c r="DP50" s="374"/>
      <c r="DQ50" s="374"/>
      <c r="DR50" s="374"/>
      <c r="DS50" s="374"/>
      <c r="DT50" s="374"/>
      <c r="DU50" s="374"/>
      <c r="DV50" s="374"/>
      <c r="DW50" s="374"/>
      <c r="DX50" s="374"/>
      <c r="DY50" s="374"/>
      <c r="DZ50" s="374"/>
      <c r="EA50" s="374"/>
      <c r="EB50" s="374"/>
      <c r="EC50" s="374"/>
      <c r="ED50" s="374"/>
      <c r="EE50" s="374"/>
      <c r="EF50" s="374"/>
      <c r="EG50" s="374"/>
      <c r="EH50" s="374"/>
      <c r="EI50" s="374"/>
      <c r="EJ50" s="374"/>
      <c r="EK50" s="374"/>
      <c r="EL50" s="374"/>
      <c r="EM50" s="374"/>
      <c r="EN50" s="374"/>
      <c r="EO50" s="374"/>
      <c r="EP50" s="374"/>
      <c r="EQ50" s="374"/>
      <c r="ER50" s="374"/>
      <c r="ES50" s="374"/>
      <c r="ET50" s="374"/>
      <c r="EU50" s="374"/>
      <c r="EV50" s="374"/>
      <c r="EW50" s="374"/>
      <c r="EX50" s="374"/>
      <c r="EY50" s="374"/>
      <c r="EZ50" s="374"/>
      <c r="FA50" s="374"/>
      <c r="FB50" s="374"/>
      <c r="FC50" s="374"/>
      <c r="FD50" s="374"/>
      <c r="FE50" s="374"/>
      <c r="FF50" s="374"/>
      <c r="FG50" s="374"/>
      <c r="FH50" s="374"/>
      <c r="FI50" s="374"/>
      <c r="FJ50" s="374"/>
      <c r="FK50" s="374"/>
      <c r="FL50" s="374"/>
      <c r="FM50" s="374"/>
      <c r="FN50" s="374"/>
      <c r="FO50" s="374"/>
      <c r="FP50" s="374"/>
      <c r="FQ50" s="374"/>
      <c r="FR50" s="374"/>
      <c r="FS50" s="374"/>
      <c r="FT50" s="374"/>
      <c r="FU50" s="374"/>
      <c r="FV50" s="374"/>
      <c r="FW50" s="374"/>
      <c r="FX50" s="374"/>
      <c r="FY50" s="374"/>
      <c r="FZ50" s="374"/>
      <c r="GA50" s="374"/>
      <c r="GB50" s="374"/>
      <c r="GC50" s="374"/>
      <c r="GD50" s="374"/>
      <c r="GE50" s="374"/>
      <c r="GF50" s="374"/>
      <c r="GG50" s="374"/>
      <c r="GH50" s="374"/>
      <c r="GI50" s="374"/>
      <c r="GJ50" s="374"/>
      <c r="GK50" s="374"/>
      <c r="GL50" s="374"/>
      <c r="GM50" s="374"/>
      <c r="GN50" s="374"/>
      <c r="GO50" s="374"/>
      <c r="GP50" s="374"/>
      <c r="GQ50" s="374"/>
      <c r="GR50" s="374"/>
      <c r="GS50" s="374"/>
      <c r="GT50" s="374"/>
      <c r="GU50" s="374"/>
      <c r="GV50" s="374"/>
      <c r="GW50" s="374"/>
      <c r="GX50" s="374"/>
      <c r="GY50" s="374"/>
      <c r="GZ50" s="374"/>
      <c r="HA50" s="374"/>
      <c r="HB50" s="374"/>
      <c r="HC50" s="374"/>
      <c r="HD50" s="374"/>
      <c r="HE50" s="374"/>
      <c r="HF50" s="374"/>
      <c r="HG50" s="374"/>
      <c r="HH50" s="374"/>
      <c r="HI50" s="374"/>
      <c r="HJ50" s="374"/>
      <c r="HK50" s="374"/>
      <c r="HL50" s="374"/>
      <c r="HM50" s="374"/>
      <c r="HN50" s="374"/>
      <c r="HO50" s="374"/>
      <c r="HP50" s="374"/>
      <c r="HQ50" s="374"/>
      <c r="HR50" s="374"/>
      <c r="HS50" s="374"/>
      <c r="HT50" s="374"/>
      <c r="HU50" s="374"/>
      <c r="HV50" s="374"/>
      <c r="HW50" s="374"/>
      <c r="HX50" s="374"/>
      <c r="HY50" s="374"/>
      <c r="HZ50" s="374"/>
      <c r="IA50" s="374"/>
      <c r="IB50" s="374"/>
      <c r="IC50" s="374"/>
      <c r="ID50" s="374"/>
      <c r="IE50" s="374"/>
      <c r="IF50" s="374"/>
      <c r="IG50" s="374"/>
      <c r="IH50" s="374"/>
      <c r="II50" s="374"/>
      <c r="IJ50" s="374"/>
      <c r="IK50" s="374"/>
      <c r="IL50" s="374"/>
      <c r="IM50" s="374"/>
      <c r="IN50" s="374"/>
      <c r="IO50" s="374"/>
      <c r="IP50" s="374"/>
      <c r="IQ50" s="374"/>
      <c r="IR50" s="374"/>
      <c r="IS50" s="374"/>
      <c r="IT50" s="374"/>
      <c r="IU50" s="374"/>
      <c r="IV50" s="374"/>
      <c r="IW50" s="374"/>
      <c r="IX50" s="374"/>
      <c r="IY50" s="374"/>
      <c r="IZ50" s="374"/>
      <c r="JA50" s="374"/>
      <c r="JB50" s="374"/>
      <c r="JC50" s="374"/>
      <c r="JD50" s="374"/>
      <c r="JE50" s="374"/>
      <c r="JF50" s="374"/>
      <c r="JG50" s="374"/>
      <c r="JH50" s="374"/>
      <c r="JI50" s="374"/>
      <c r="JJ50" s="374"/>
      <c r="JK50" s="374"/>
      <c r="JL50" s="374"/>
      <c r="JM50" s="374"/>
      <c r="JN50" s="374"/>
      <c r="JO50" s="374"/>
      <c r="JP50" s="374"/>
      <c r="JQ50" s="374"/>
      <c r="JR50" s="374"/>
      <c r="JS50" s="374"/>
      <c r="JT50" s="374"/>
      <c r="JU50" s="374"/>
      <c r="JV50" s="374"/>
      <c r="JW50" s="374"/>
      <c r="JX50" s="374"/>
      <c r="JY50" s="374"/>
      <c r="JZ50" s="374"/>
      <c r="KA50" s="374"/>
      <c r="KB50" s="374"/>
      <c r="KC50" s="374"/>
      <c r="KD50" s="374"/>
      <c r="KE50" s="374"/>
      <c r="KF50" s="374"/>
      <c r="KG50" s="374"/>
      <c r="KH50" s="374"/>
      <c r="KI50" s="374"/>
      <c r="KJ50" s="374"/>
      <c r="KK50" s="374"/>
      <c r="KL50" s="374"/>
      <c r="KM50" s="374"/>
      <c r="KN50" s="374"/>
      <c r="KO50" s="374"/>
      <c r="KP50" s="374"/>
      <c r="KQ50" s="374"/>
      <c r="KR50" s="374"/>
      <c r="KS50" s="374"/>
      <c r="KT50" s="374"/>
      <c r="KU50" s="374"/>
      <c r="KV50" s="374"/>
      <c r="KW50" s="374"/>
      <c r="KX50" s="374"/>
      <c r="KY50" s="374"/>
      <c r="KZ50" s="374"/>
      <c r="LA50" s="374"/>
      <c r="LB50" s="374"/>
      <c r="LC50" s="374"/>
      <c r="LD50" s="374"/>
      <c r="LE50" s="374"/>
      <c r="LF50" s="374"/>
      <c r="LG50" s="374"/>
      <c r="LH50" s="374"/>
      <c r="LI50" s="374"/>
      <c r="LJ50" s="374"/>
      <c r="LK50" s="374"/>
      <c r="LL50" s="374"/>
      <c r="LM50" s="374"/>
      <c r="LN50" s="374"/>
      <c r="LO50" s="374"/>
      <c r="LP50" s="374"/>
      <c r="LQ50" s="374"/>
    </row>
    <row r="51" spans="1:329" ht="12" customHeight="1">
      <c r="A51" s="529" t="s">
        <v>465</v>
      </c>
      <c r="B51" s="276" t="s">
        <v>321</v>
      </c>
      <c r="C51" s="276"/>
      <c r="D51" s="824" t="str">
        <f>HYPERLINK("#"&amp;"HPSBI.2_Ref","Fundamental Commissioning of the Building Energy Systems (HPSB GP1)")</f>
        <v>Fundamental Commissioning of the Building Energy Systems (HPSB GP1)</v>
      </c>
      <c r="E51" s="825"/>
      <c r="F51" s="461" t="s">
        <v>322</v>
      </c>
      <c r="G51" s="258" t="s">
        <v>361</v>
      </c>
    </row>
    <row r="52" spans="1:329">
      <c r="A52" s="537" t="s">
        <v>465</v>
      </c>
      <c r="B52" s="277" t="s">
        <v>362</v>
      </c>
      <c r="C52" s="277"/>
      <c r="D52" s="501" t="str">
        <f>HYPERLINK("#"&amp;"HPSBII.1_Ref","Minimum Energy Performance (HPSB GP2)")</f>
        <v>Minimum Energy Performance (HPSB GP2)</v>
      </c>
      <c r="E52" s="295"/>
      <c r="F52" s="465" t="s">
        <v>322</v>
      </c>
      <c r="G52" s="258" t="s">
        <v>361</v>
      </c>
    </row>
    <row r="53" spans="1:329">
      <c r="A53" s="537" t="s">
        <v>465</v>
      </c>
      <c r="B53" s="277" t="s">
        <v>363</v>
      </c>
      <c r="C53" s="277"/>
      <c r="D53" s="502" t="str">
        <f>HYPERLINK("#"&amp;"HPSBV.6_Ref","Fundamental Refrigerant Management (HPSB GP5)")</f>
        <v>Fundamental Refrigerant Management (HPSB GP5)</v>
      </c>
      <c r="E53" s="295"/>
      <c r="F53" s="465" t="s">
        <v>322</v>
      </c>
      <c r="G53" s="258" t="s">
        <v>361</v>
      </c>
    </row>
    <row r="54" spans="1:329">
      <c r="A54" s="533">
        <v>10</v>
      </c>
      <c r="B54" s="294" t="s">
        <v>323</v>
      </c>
      <c r="C54" s="273"/>
      <c r="D54" s="501" t="str">
        <f>HYPERLINK("#"&amp;"HPSBII.1_Ref","Optimize Energy Performance (HPSB GP2)")</f>
        <v>Optimize Energy Performance (HPSB GP2)</v>
      </c>
      <c r="E54" s="295"/>
      <c r="F54" s="465" t="s">
        <v>364</v>
      </c>
      <c r="G54" s="258" t="s">
        <v>361</v>
      </c>
    </row>
    <row r="55" spans="1:329">
      <c r="A55" s="535"/>
      <c r="B55" s="260"/>
      <c r="C55" s="274"/>
      <c r="D55" s="500">
        <v>1</v>
      </c>
      <c r="E55" s="304" t="s">
        <v>365</v>
      </c>
      <c r="F55" s="466">
        <v>1</v>
      </c>
      <c r="G55" s="258" t="s">
        <v>361</v>
      </c>
      <c r="H55" s="254" t="s">
        <v>366</v>
      </c>
      <c r="I55" s="254" t="s">
        <v>323</v>
      </c>
    </row>
    <row r="56" spans="1:329" s="254" customFormat="1">
      <c r="A56" s="535"/>
      <c r="B56" s="260"/>
      <c r="C56" s="274"/>
      <c r="D56" s="500">
        <v>2</v>
      </c>
      <c r="E56" s="304" t="s">
        <v>367</v>
      </c>
      <c r="F56" s="466">
        <v>1</v>
      </c>
      <c r="G56" s="258" t="s">
        <v>361</v>
      </c>
      <c r="H56" s="254" t="s">
        <v>366</v>
      </c>
      <c r="I56" s="254" t="s">
        <v>323</v>
      </c>
      <c r="L56" s="255"/>
      <c r="M56" s="255"/>
      <c r="N56" s="375"/>
      <c r="O56" s="375"/>
      <c r="P56" s="375"/>
      <c r="Q56" s="375"/>
      <c r="R56" s="375"/>
      <c r="S56" s="375"/>
      <c r="T56" s="375"/>
      <c r="U56" s="375"/>
      <c r="V56" s="375"/>
      <c r="W56" s="375"/>
      <c r="X56" s="375"/>
      <c r="Y56" s="375"/>
      <c r="Z56" s="375"/>
      <c r="AA56" s="375"/>
      <c r="AB56" s="375"/>
      <c r="AC56" s="375"/>
      <c r="AD56" s="375"/>
      <c r="AE56" s="375"/>
      <c r="AF56" s="375"/>
      <c r="AG56" s="375"/>
      <c r="AH56" s="375"/>
      <c r="AI56" s="375"/>
      <c r="AJ56" s="375"/>
      <c r="AK56" s="375"/>
      <c r="AL56" s="375"/>
      <c r="AM56" s="375"/>
      <c r="AN56" s="375"/>
      <c r="AO56" s="375"/>
      <c r="AP56" s="375"/>
      <c r="AQ56" s="375"/>
      <c r="AR56" s="375"/>
      <c r="AS56" s="375"/>
      <c r="AT56" s="375"/>
      <c r="AU56" s="375"/>
      <c r="AV56" s="375"/>
      <c r="AW56" s="375"/>
      <c r="AX56" s="375"/>
      <c r="AY56" s="375"/>
      <c r="AZ56" s="375"/>
      <c r="BA56" s="375"/>
      <c r="BB56" s="375"/>
      <c r="BC56" s="375"/>
      <c r="BD56" s="375"/>
      <c r="BE56" s="375"/>
      <c r="BF56" s="375"/>
      <c r="BG56" s="375"/>
      <c r="BH56" s="375"/>
      <c r="BI56" s="375"/>
      <c r="BJ56" s="375"/>
      <c r="BK56" s="375"/>
      <c r="BL56" s="375"/>
      <c r="BM56" s="375"/>
      <c r="BN56" s="375"/>
      <c r="BO56" s="375"/>
      <c r="BP56" s="375"/>
      <c r="BQ56" s="375"/>
      <c r="BR56" s="375"/>
      <c r="BS56" s="375"/>
      <c r="BT56" s="375"/>
      <c r="BU56" s="375"/>
      <c r="BV56" s="375"/>
      <c r="BW56" s="375"/>
      <c r="BX56" s="375"/>
      <c r="BY56" s="375"/>
      <c r="BZ56" s="375"/>
      <c r="CA56" s="375"/>
      <c r="CB56" s="375"/>
      <c r="CC56" s="375"/>
      <c r="CD56" s="375"/>
      <c r="CE56" s="375"/>
      <c r="CF56" s="375"/>
      <c r="CG56" s="375"/>
      <c r="CH56" s="375"/>
      <c r="CI56" s="375"/>
      <c r="CJ56" s="375"/>
      <c r="CK56" s="375"/>
      <c r="CL56" s="375"/>
      <c r="CM56" s="375"/>
      <c r="CN56" s="375"/>
      <c r="CO56" s="375"/>
      <c r="CP56" s="375"/>
      <c r="CQ56" s="375"/>
      <c r="CR56" s="375"/>
      <c r="CS56" s="375"/>
      <c r="CT56" s="375"/>
      <c r="CU56" s="375"/>
      <c r="CV56" s="375"/>
      <c r="CW56" s="375"/>
      <c r="CX56" s="375"/>
      <c r="CY56" s="375"/>
      <c r="CZ56" s="375"/>
      <c r="DA56" s="375"/>
      <c r="DB56" s="375"/>
      <c r="DC56" s="375"/>
      <c r="DD56" s="375"/>
      <c r="DE56" s="375"/>
      <c r="DF56" s="375"/>
      <c r="DG56" s="375"/>
      <c r="DH56" s="375"/>
      <c r="DI56" s="375"/>
      <c r="DJ56" s="375"/>
      <c r="DK56" s="375"/>
      <c r="DL56" s="375"/>
      <c r="DM56" s="375"/>
      <c r="DN56" s="375"/>
      <c r="DO56" s="375"/>
      <c r="DP56" s="375"/>
      <c r="DQ56" s="375"/>
      <c r="DR56" s="375"/>
      <c r="DS56" s="375"/>
      <c r="DT56" s="375"/>
      <c r="DU56" s="375"/>
      <c r="DV56" s="375"/>
      <c r="DW56" s="375"/>
      <c r="DX56" s="375"/>
      <c r="DY56" s="375"/>
      <c r="DZ56" s="375"/>
      <c r="EA56" s="375"/>
      <c r="EB56" s="375"/>
      <c r="EC56" s="375"/>
      <c r="ED56" s="375"/>
      <c r="EE56" s="375"/>
      <c r="EF56" s="375"/>
      <c r="EG56" s="375"/>
      <c r="EH56" s="375"/>
      <c r="EI56" s="375"/>
      <c r="EJ56" s="375"/>
      <c r="EK56" s="375"/>
      <c r="EL56" s="375"/>
      <c r="EM56" s="375"/>
      <c r="EN56" s="375"/>
      <c r="EO56" s="375"/>
      <c r="EP56" s="375"/>
      <c r="EQ56" s="375"/>
      <c r="ER56" s="375"/>
      <c r="ES56" s="375"/>
      <c r="ET56" s="375"/>
      <c r="EU56" s="375"/>
      <c r="EV56" s="375"/>
      <c r="EW56" s="375"/>
      <c r="EX56" s="375"/>
      <c r="EY56" s="375"/>
      <c r="EZ56" s="375"/>
      <c r="FA56" s="375"/>
      <c r="FB56" s="375"/>
      <c r="FC56" s="375"/>
      <c r="FD56" s="375"/>
      <c r="FE56" s="375"/>
      <c r="FF56" s="375"/>
      <c r="FG56" s="375"/>
      <c r="FH56" s="375"/>
      <c r="FI56" s="375"/>
      <c r="FJ56" s="375"/>
      <c r="FK56" s="375"/>
      <c r="FL56" s="375"/>
      <c r="FM56" s="375"/>
      <c r="FN56" s="375"/>
      <c r="FO56" s="375"/>
      <c r="FP56" s="375"/>
      <c r="FQ56" s="375"/>
      <c r="FR56" s="375"/>
      <c r="FS56" s="375"/>
      <c r="FT56" s="375"/>
      <c r="FU56" s="375"/>
      <c r="FV56" s="375"/>
      <c r="FW56" s="375"/>
      <c r="FX56" s="375"/>
      <c r="FY56" s="375"/>
      <c r="FZ56" s="375"/>
      <c r="GA56" s="375"/>
      <c r="GB56" s="375"/>
      <c r="GC56" s="375"/>
      <c r="GD56" s="375"/>
      <c r="GE56" s="375"/>
      <c r="GF56" s="375"/>
      <c r="GG56" s="375"/>
      <c r="GH56" s="375"/>
      <c r="GI56" s="375"/>
      <c r="GJ56" s="375"/>
      <c r="GK56" s="375"/>
      <c r="GL56" s="375"/>
      <c r="GM56" s="375"/>
      <c r="GN56" s="375"/>
      <c r="GO56" s="375"/>
      <c r="GP56" s="375"/>
      <c r="GQ56" s="375"/>
      <c r="GR56" s="375"/>
      <c r="GS56" s="375"/>
      <c r="GT56" s="375"/>
      <c r="GU56" s="375"/>
      <c r="GV56" s="375"/>
      <c r="GW56" s="375"/>
      <c r="GX56" s="375"/>
      <c r="GY56" s="375"/>
      <c r="GZ56" s="375"/>
      <c r="HA56" s="375"/>
      <c r="HB56" s="375"/>
      <c r="HC56" s="375"/>
      <c r="HD56" s="375"/>
      <c r="HE56" s="375"/>
      <c r="HF56" s="375"/>
      <c r="HG56" s="375"/>
      <c r="HH56" s="375"/>
      <c r="HI56" s="375"/>
      <c r="HJ56" s="375"/>
      <c r="HK56" s="375"/>
      <c r="HL56" s="375"/>
      <c r="HM56" s="375"/>
      <c r="HN56" s="375"/>
      <c r="HO56" s="375"/>
      <c r="HP56" s="375"/>
      <c r="HQ56" s="375"/>
      <c r="HR56" s="375"/>
      <c r="HS56" s="375"/>
      <c r="HT56" s="375"/>
      <c r="HU56" s="375"/>
      <c r="HV56" s="375"/>
      <c r="HW56" s="375"/>
      <c r="HX56" s="375"/>
      <c r="HY56" s="375"/>
      <c r="HZ56" s="375"/>
      <c r="IA56" s="375"/>
      <c r="IB56" s="375"/>
      <c r="IC56" s="375"/>
      <c r="ID56" s="375"/>
      <c r="IE56" s="375"/>
      <c r="IF56" s="375"/>
      <c r="IG56" s="375"/>
      <c r="IH56" s="375"/>
      <c r="II56" s="375"/>
      <c r="IJ56" s="375"/>
      <c r="IK56" s="375"/>
      <c r="IL56" s="375"/>
      <c r="IM56" s="375"/>
      <c r="IN56" s="375"/>
      <c r="IO56" s="375"/>
      <c r="IP56" s="375"/>
      <c r="IQ56" s="375"/>
      <c r="IR56" s="375"/>
      <c r="IS56" s="375"/>
      <c r="IT56" s="375"/>
      <c r="IU56" s="375"/>
      <c r="IV56" s="375"/>
      <c r="IW56" s="375"/>
      <c r="IX56" s="375"/>
      <c r="IY56" s="375"/>
      <c r="IZ56" s="375"/>
      <c r="JA56" s="375"/>
      <c r="JB56" s="375"/>
      <c r="JC56" s="375"/>
      <c r="JD56" s="375"/>
      <c r="JE56" s="375"/>
      <c r="JF56" s="375"/>
      <c r="JG56" s="375"/>
      <c r="JH56" s="375"/>
      <c r="JI56" s="375"/>
      <c r="JJ56" s="375"/>
      <c r="JK56" s="375"/>
      <c r="JL56" s="375"/>
      <c r="JM56" s="375"/>
      <c r="JN56" s="375"/>
      <c r="JO56" s="375"/>
      <c r="JP56" s="375"/>
      <c r="JQ56" s="375"/>
      <c r="JR56" s="375"/>
      <c r="JS56" s="375"/>
      <c r="JT56" s="375"/>
      <c r="JU56" s="375"/>
      <c r="JV56" s="375"/>
      <c r="JW56" s="375"/>
      <c r="JX56" s="375"/>
      <c r="JY56" s="375"/>
      <c r="JZ56" s="375"/>
      <c r="KA56" s="375"/>
      <c r="KB56" s="375"/>
      <c r="KC56" s="375"/>
      <c r="KD56" s="375"/>
      <c r="KE56" s="375"/>
      <c r="KF56" s="375"/>
      <c r="KG56" s="375"/>
      <c r="KH56" s="375"/>
      <c r="KI56" s="375"/>
      <c r="KJ56" s="375"/>
      <c r="KK56" s="375"/>
      <c r="KL56" s="375"/>
      <c r="KM56" s="375"/>
      <c r="KN56" s="375"/>
      <c r="KO56" s="375"/>
      <c r="KP56" s="375"/>
      <c r="KQ56" s="375"/>
      <c r="KR56" s="375"/>
      <c r="KS56" s="375"/>
      <c r="KT56" s="375"/>
      <c r="KU56" s="375"/>
      <c r="KV56" s="375"/>
      <c r="KW56" s="375"/>
      <c r="KX56" s="375"/>
      <c r="KY56" s="375"/>
      <c r="KZ56" s="375"/>
      <c r="LA56" s="375"/>
      <c r="LB56" s="375"/>
      <c r="LC56" s="375"/>
      <c r="LD56" s="375"/>
      <c r="LE56" s="375"/>
      <c r="LF56" s="375"/>
      <c r="LG56" s="375"/>
      <c r="LH56" s="375"/>
      <c r="LI56" s="375"/>
      <c r="LJ56" s="375"/>
      <c r="LK56" s="375"/>
      <c r="LL56" s="375"/>
      <c r="LM56" s="375"/>
      <c r="LN56" s="375"/>
      <c r="LO56" s="375"/>
      <c r="LP56" s="375"/>
      <c r="LQ56" s="375"/>
    </row>
    <row r="57" spans="1:329" s="254" customFormat="1">
      <c r="A57" s="535"/>
      <c r="B57" s="260"/>
      <c r="C57" s="274"/>
      <c r="D57" s="500">
        <v>3</v>
      </c>
      <c r="E57" s="304" t="s">
        <v>368</v>
      </c>
      <c r="F57" s="466">
        <v>1</v>
      </c>
      <c r="G57" s="258" t="s">
        <v>361</v>
      </c>
      <c r="H57" s="254" t="s">
        <v>366</v>
      </c>
      <c r="I57" s="254" t="s">
        <v>323</v>
      </c>
      <c r="L57" s="255"/>
      <c r="M57" s="255"/>
      <c r="N57" s="375"/>
      <c r="O57" s="375"/>
      <c r="P57" s="375"/>
      <c r="Q57" s="375"/>
      <c r="R57" s="375"/>
      <c r="S57" s="375"/>
      <c r="T57" s="375"/>
      <c r="U57" s="375"/>
      <c r="V57" s="375"/>
      <c r="W57" s="375"/>
      <c r="X57" s="375"/>
      <c r="Y57" s="375"/>
      <c r="Z57" s="375"/>
      <c r="AA57" s="375"/>
      <c r="AB57" s="375"/>
      <c r="AC57" s="375"/>
      <c r="AD57" s="375"/>
      <c r="AE57" s="375"/>
      <c r="AF57" s="375"/>
      <c r="AG57" s="375"/>
      <c r="AH57" s="375"/>
      <c r="AI57" s="375"/>
      <c r="AJ57" s="375"/>
      <c r="AK57" s="375"/>
      <c r="AL57" s="375"/>
      <c r="AM57" s="375"/>
      <c r="AN57" s="375"/>
      <c r="AO57" s="375"/>
      <c r="AP57" s="375"/>
      <c r="AQ57" s="375"/>
      <c r="AR57" s="375"/>
      <c r="AS57" s="375"/>
      <c r="AT57" s="375"/>
      <c r="AU57" s="375"/>
      <c r="AV57" s="375"/>
      <c r="AW57" s="375"/>
      <c r="AX57" s="375"/>
      <c r="AY57" s="375"/>
      <c r="AZ57" s="375"/>
      <c r="BA57" s="375"/>
      <c r="BB57" s="375"/>
      <c r="BC57" s="375"/>
      <c r="BD57" s="375"/>
      <c r="BE57" s="375"/>
      <c r="BF57" s="375"/>
      <c r="BG57" s="375"/>
      <c r="BH57" s="375"/>
      <c r="BI57" s="375"/>
      <c r="BJ57" s="375"/>
      <c r="BK57" s="375"/>
      <c r="BL57" s="375"/>
      <c r="BM57" s="375"/>
      <c r="BN57" s="375"/>
      <c r="BO57" s="375"/>
      <c r="BP57" s="375"/>
      <c r="BQ57" s="375"/>
      <c r="BR57" s="375"/>
      <c r="BS57" s="375"/>
      <c r="BT57" s="375"/>
      <c r="BU57" s="375"/>
      <c r="BV57" s="375"/>
      <c r="BW57" s="375"/>
      <c r="BX57" s="375"/>
      <c r="BY57" s="375"/>
      <c r="BZ57" s="375"/>
      <c r="CA57" s="375"/>
      <c r="CB57" s="375"/>
      <c r="CC57" s="375"/>
      <c r="CD57" s="375"/>
      <c r="CE57" s="375"/>
      <c r="CF57" s="375"/>
      <c r="CG57" s="375"/>
      <c r="CH57" s="375"/>
      <c r="CI57" s="375"/>
      <c r="CJ57" s="375"/>
      <c r="CK57" s="375"/>
      <c r="CL57" s="375"/>
      <c r="CM57" s="375"/>
      <c r="CN57" s="375"/>
      <c r="CO57" s="375"/>
      <c r="CP57" s="375"/>
      <c r="CQ57" s="375"/>
      <c r="CR57" s="375"/>
      <c r="CS57" s="375"/>
      <c r="CT57" s="375"/>
      <c r="CU57" s="375"/>
      <c r="CV57" s="375"/>
      <c r="CW57" s="375"/>
      <c r="CX57" s="375"/>
      <c r="CY57" s="375"/>
      <c r="CZ57" s="375"/>
      <c r="DA57" s="375"/>
      <c r="DB57" s="375"/>
      <c r="DC57" s="375"/>
      <c r="DD57" s="375"/>
      <c r="DE57" s="375"/>
      <c r="DF57" s="375"/>
      <c r="DG57" s="375"/>
      <c r="DH57" s="375"/>
      <c r="DI57" s="375"/>
      <c r="DJ57" s="375"/>
      <c r="DK57" s="375"/>
      <c r="DL57" s="375"/>
      <c r="DM57" s="375"/>
      <c r="DN57" s="375"/>
      <c r="DO57" s="375"/>
      <c r="DP57" s="375"/>
      <c r="DQ57" s="375"/>
      <c r="DR57" s="375"/>
      <c r="DS57" s="375"/>
      <c r="DT57" s="375"/>
      <c r="DU57" s="375"/>
      <c r="DV57" s="375"/>
      <c r="DW57" s="375"/>
      <c r="DX57" s="375"/>
      <c r="DY57" s="375"/>
      <c r="DZ57" s="375"/>
      <c r="EA57" s="375"/>
      <c r="EB57" s="375"/>
      <c r="EC57" s="375"/>
      <c r="ED57" s="375"/>
      <c r="EE57" s="375"/>
      <c r="EF57" s="375"/>
      <c r="EG57" s="375"/>
      <c r="EH57" s="375"/>
      <c r="EI57" s="375"/>
      <c r="EJ57" s="375"/>
      <c r="EK57" s="375"/>
      <c r="EL57" s="375"/>
      <c r="EM57" s="375"/>
      <c r="EN57" s="375"/>
      <c r="EO57" s="375"/>
      <c r="EP57" s="375"/>
      <c r="EQ57" s="375"/>
      <c r="ER57" s="375"/>
      <c r="ES57" s="375"/>
      <c r="ET57" s="375"/>
      <c r="EU57" s="375"/>
      <c r="EV57" s="375"/>
      <c r="EW57" s="375"/>
      <c r="EX57" s="375"/>
      <c r="EY57" s="375"/>
      <c r="EZ57" s="375"/>
      <c r="FA57" s="375"/>
      <c r="FB57" s="375"/>
      <c r="FC57" s="375"/>
      <c r="FD57" s="375"/>
      <c r="FE57" s="375"/>
      <c r="FF57" s="375"/>
      <c r="FG57" s="375"/>
      <c r="FH57" s="375"/>
      <c r="FI57" s="375"/>
      <c r="FJ57" s="375"/>
      <c r="FK57" s="375"/>
      <c r="FL57" s="375"/>
      <c r="FM57" s="375"/>
      <c r="FN57" s="375"/>
      <c r="FO57" s="375"/>
      <c r="FP57" s="375"/>
      <c r="FQ57" s="375"/>
      <c r="FR57" s="375"/>
      <c r="FS57" s="375"/>
      <c r="FT57" s="375"/>
      <c r="FU57" s="375"/>
      <c r="FV57" s="375"/>
      <c r="FW57" s="375"/>
      <c r="FX57" s="375"/>
      <c r="FY57" s="375"/>
      <c r="FZ57" s="375"/>
      <c r="GA57" s="375"/>
      <c r="GB57" s="375"/>
      <c r="GC57" s="375"/>
      <c r="GD57" s="375"/>
      <c r="GE57" s="375"/>
      <c r="GF57" s="375"/>
      <c r="GG57" s="375"/>
      <c r="GH57" s="375"/>
      <c r="GI57" s="375"/>
      <c r="GJ57" s="375"/>
      <c r="GK57" s="375"/>
      <c r="GL57" s="375"/>
      <c r="GM57" s="375"/>
      <c r="GN57" s="375"/>
      <c r="GO57" s="375"/>
      <c r="GP57" s="375"/>
      <c r="GQ57" s="375"/>
      <c r="GR57" s="375"/>
      <c r="GS57" s="375"/>
      <c r="GT57" s="375"/>
      <c r="GU57" s="375"/>
      <c r="GV57" s="375"/>
      <c r="GW57" s="375"/>
      <c r="GX57" s="375"/>
      <c r="GY57" s="375"/>
      <c r="GZ57" s="375"/>
      <c r="HA57" s="375"/>
      <c r="HB57" s="375"/>
      <c r="HC57" s="375"/>
      <c r="HD57" s="375"/>
      <c r="HE57" s="375"/>
      <c r="HF57" s="375"/>
      <c r="HG57" s="375"/>
      <c r="HH57" s="375"/>
      <c r="HI57" s="375"/>
      <c r="HJ57" s="375"/>
      <c r="HK57" s="375"/>
      <c r="HL57" s="375"/>
      <c r="HM57" s="375"/>
      <c r="HN57" s="375"/>
      <c r="HO57" s="375"/>
      <c r="HP57" s="375"/>
      <c r="HQ57" s="375"/>
      <c r="HR57" s="375"/>
      <c r="HS57" s="375"/>
      <c r="HT57" s="375"/>
      <c r="HU57" s="375"/>
      <c r="HV57" s="375"/>
      <c r="HW57" s="375"/>
      <c r="HX57" s="375"/>
      <c r="HY57" s="375"/>
      <c r="HZ57" s="375"/>
      <c r="IA57" s="375"/>
      <c r="IB57" s="375"/>
      <c r="IC57" s="375"/>
      <c r="ID57" s="375"/>
      <c r="IE57" s="375"/>
      <c r="IF57" s="375"/>
      <c r="IG57" s="375"/>
      <c r="IH57" s="375"/>
      <c r="II57" s="375"/>
      <c r="IJ57" s="375"/>
      <c r="IK57" s="375"/>
      <c r="IL57" s="375"/>
      <c r="IM57" s="375"/>
      <c r="IN57" s="375"/>
      <c r="IO57" s="375"/>
      <c r="IP57" s="375"/>
      <c r="IQ57" s="375"/>
      <c r="IR57" s="375"/>
      <c r="IS57" s="375"/>
      <c r="IT57" s="375"/>
      <c r="IU57" s="375"/>
      <c r="IV57" s="375"/>
      <c r="IW57" s="375"/>
      <c r="IX57" s="375"/>
      <c r="IY57" s="375"/>
      <c r="IZ57" s="375"/>
      <c r="JA57" s="375"/>
      <c r="JB57" s="375"/>
      <c r="JC57" s="375"/>
      <c r="JD57" s="375"/>
      <c r="JE57" s="375"/>
      <c r="JF57" s="375"/>
      <c r="JG57" s="375"/>
      <c r="JH57" s="375"/>
      <c r="JI57" s="375"/>
      <c r="JJ57" s="375"/>
      <c r="JK57" s="375"/>
      <c r="JL57" s="375"/>
      <c r="JM57" s="375"/>
      <c r="JN57" s="375"/>
      <c r="JO57" s="375"/>
      <c r="JP57" s="375"/>
      <c r="JQ57" s="375"/>
      <c r="JR57" s="375"/>
      <c r="JS57" s="375"/>
      <c r="JT57" s="375"/>
      <c r="JU57" s="375"/>
      <c r="JV57" s="375"/>
      <c r="JW57" s="375"/>
      <c r="JX57" s="375"/>
      <c r="JY57" s="375"/>
      <c r="JZ57" s="375"/>
      <c r="KA57" s="375"/>
      <c r="KB57" s="375"/>
      <c r="KC57" s="375"/>
      <c r="KD57" s="375"/>
      <c r="KE57" s="375"/>
      <c r="KF57" s="375"/>
      <c r="KG57" s="375"/>
      <c r="KH57" s="375"/>
      <c r="KI57" s="375"/>
      <c r="KJ57" s="375"/>
      <c r="KK57" s="375"/>
      <c r="KL57" s="375"/>
      <c r="KM57" s="375"/>
      <c r="KN57" s="375"/>
      <c r="KO57" s="375"/>
      <c r="KP57" s="375"/>
      <c r="KQ57" s="375"/>
      <c r="KR57" s="375"/>
      <c r="KS57" s="375"/>
      <c r="KT57" s="375"/>
      <c r="KU57" s="375"/>
      <c r="KV57" s="375"/>
      <c r="KW57" s="375"/>
      <c r="KX57" s="375"/>
      <c r="KY57" s="375"/>
      <c r="KZ57" s="375"/>
      <c r="LA57" s="375"/>
      <c r="LB57" s="375"/>
      <c r="LC57" s="375"/>
      <c r="LD57" s="375"/>
      <c r="LE57" s="375"/>
      <c r="LF57" s="375"/>
      <c r="LG57" s="375"/>
      <c r="LH57" s="375"/>
      <c r="LI57" s="375"/>
      <c r="LJ57" s="375"/>
      <c r="LK57" s="375"/>
      <c r="LL57" s="375"/>
      <c r="LM57" s="375"/>
      <c r="LN57" s="375"/>
      <c r="LO57" s="375"/>
      <c r="LP57" s="375"/>
      <c r="LQ57" s="375"/>
    </row>
    <row r="58" spans="1:329" s="254" customFormat="1">
      <c r="A58" s="535"/>
      <c r="B58" s="260"/>
      <c r="C58" s="274"/>
      <c r="D58" s="500">
        <v>4</v>
      </c>
      <c r="E58" s="304" t="s">
        <v>369</v>
      </c>
      <c r="F58" s="466">
        <v>1</v>
      </c>
      <c r="G58" s="258" t="s">
        <v>361</v>
      </c>
      <c r="H58" s="254" t="s">
        <v>366</v>
      </c>
      <c r="I58" s="254" t="s">
        <v>323</v>
      </c>
      <c r="L58" s="255"/>
      <c r="M58" s="255"/>
      <c r="N58" s="375"/>
      <c r="O58" s="375"/>
      <c r="P58" s="375"/>
      <c r="Q58" s="375"/>
      <c r="R58" s="375"/>
      <c r="S58" s="375"/>
      <c r="T58" s="375"/>
      <c r="U58" s="375"/>
      <c r="V58" s="375"/>
      <c r="W58" s="375"/>
      <c r="X58" s="375"/>
      <c r="Y58" s="375"/>
      <c r="Z58" s="375"/>
      <c r="AA58" s="375"/>
      <c r="AB58" s="375"/>
      <c r="AC58" s="375"/>
      <c r="AD58" s="375"/>
      <c r="AE58" s="375"/>
      <c r="AF58" s="375"/>
      <c r="AG58" s="375"/>
      <c r="AH58" s="375"/>
      <c r="AI58" s="375"/>
      <c r="AJ58" s="375"/>
      <c r="AK58" s="375"/>
      <c r="AL58" s="375"/>
      <c r="AM58" s="375"/>
      <c r="AN58" s="375"/>
      <c r="AO58" s="375"/>
      <c r="AP58" s="375"/>
      <c r="AQ58" s="375"/>
      <c r="AR58" s="375"/>
      <c r="AS58" s="375"/>
      <c r="AT58" s="375"/>
      <c r="AU58" s="375"/>
      <c r="AV58" s="375"/>
      <c r="AW58" s="375"/>
      <c r="AX58" s="375"/>
      <c r="AY58" s="375"/>
      <c r="AZ58" s="375"/>
      <c r="BA58" s="375"/>
      <c r="BB58" s="375"/>
      <c r="BC58" s="375"/>
      <c r="BD58" s="375"/>
      <c r="BE58" s="375"/>
      <c r="BF58" s="375"/>
      <c r="BG58" s="375"/>
      <c r="BH58" s="375"/>
      <c r="BI58" s="375"/>
      <c r="BJ58" s="375"/>
      <c r="BK58" s="375"/>
      <c r="BL58" s="375"/>
      <c r="BM58" s="375"/>
      <c r="BN58" s="375"/>
      <c r="BO58" s="375"/>
      <c r="BP58" s="375"/>
      <c r="BQ58" s="375"/>
      <c r="BR58" s="375"/>
      <c r="BS58" s="375"/>
      <c r="BT58" s="375"/>
      <c r="BU58" s="375"/>
      <c r="BV58" s="375"/>
      <c r="BW58" s="375"/>
      <c r="BX58" s="375"/>
      <c r="BY58" s="375"/>
      <c r="BZ58" s="375"/>
      <c r="CA58" s="375"/>
      <c r="CB58" s="375"/>
      <c r="CC58" s="375"/>
      <c r="CD58" s="375"/>
      <c r="CE58" s="375"/>
      <c r="CF58" s="375"/>
      <c r="CG58" s="375"/>
      <c r="CH58" s="375"/>
      <c r="CI58" s="375"/>
      <c r="CJ58" s="375"/>
      <c r="CK58" s="375"/>
      <c r="CL58" s="375"/>
      <c r="CM58" s="375"/>
      <c r="CN58" s="375"/>
      <c r="CO58" s="375"/>
      <c r="CP58" s="375"/>
      <c r="CQ58" s="375"/>
      <c r="CR58" s="375"/>
      <c r="CS58" s="375"/>
      <c r="CT58" s="375"/>
      <c r="CU58" s="375"/>
      <c r="CV58" s="375"/>
      <c r="CW58" s="375"/>
      <c r="CX58" s="375"/>
      <c r="CY58" s="375"/>
      <c r="CZ58" s="375"/>
      <c r="DA58" s="375"/>
      <c r="DB58" s="375"/>
      <c r="DC58" s="375"/>
      <c r="DD58" s="375"/>
      <c r="DE58" s="375"/>
      <c r="DF58" s="375"/>
      <c r="DG58" s="375"/>
      <c r="DH58" s="375"/>
      <c r="DI58" s="375"/>
      <c r="DJ58" s="375"/>
      <c r="DK58" s="375"/>
      <c r="DL58" s="375"/>
      <c r="DM58" s="375"/>
      <c r="DN58" s="375"/>
      <c r="DO58" s="375"/>
      <c r="DP58" s="375"/>
      <c r="DQ58" s="375"/>
      <c r="DR58" s="375"/>
      <c r="DS58" s="375"/>
      <c r="DT58" s="375"/>
      <c r="DU58" s="375"/>
      <c r="DV58" s="375"/>
      <c r="DW58" s="375"/>
      <c r="DX58" s="375"/>
      <c r="DY58" s="375"/>
      <c r="DZ58" s="375"/>
      <c r="EA58" s="375"/>
      <c r="EB58" s="375"/>
      <c r="EC58" s="375"/>
      <c r="ED58" s="375"/>
      <c r="EE58" s="375"/>
      <c r="EF58" s="375"/>
      <c r="EG58" s="375"/>
      <c r="EH58" s="375"/>
      <c r="EI58" s="375"/>
      <c r="EJ58" s="375"/>
      <c r="EK58" s="375"/>
      <c r="EL58" s="375"/>
      <c r="EM58" s="375"/>
      <c r="EN58" s="375"/>
      <c r="EO58" s="375"/>
      <c r="EP58" s="375"/>
      <c r="EQ58" s="375"/>
      <c r="ER58" s="375"/>
      <c r="ES58" s="375"/>
      <c r="ET58" s="375"/>
      <c r="EU58" s="375"/>
      <c r="EV58" s="375"/>
      <c r="EW58" s="375"/>
      <c r="EX58" s="375"/>
      <c r="EY58" s="375"/>
      <c r="EZ58" s="375"/>
      <c r="FA58" s="375"/>
      <c r="FB58" s="375"/>
      <c r="FC58" s="375"/>
      <c r="FD58" s="375"/>
      <c r="FE58" s="375"/>
      <c r="FF58" s="375"/>
      <c r="FG58" s="375"/>
      <c r="FH58" s="375"/>
      <c r="FI58" s="375"/>
      <c r="FJ58" s="375"/>
      <c r="FK58" s="375"/>
      <c r="FL58" s="375"/>
      <c r="FM58" s="375"/>
      <c r="FN58" s="375"/>
      <c r="FO58" s="375"/>
      <c r="FP58" s="375"/>
      <c r="FQ58" s="375"/>
      <c r="FR58" s="375"/>
      <c r="FS58" s="375"/>
      <c r="FT58" s="375"/>
      <c r="FU58" s="375"/>
      <c r="FV58" s="375"/>
      <c r="FW58" s="375"/>
      <c r="FX58" s="375"/>
      <c r="FY58" s="375"/>
      <c r="FZ58" s="375"/>
      <c r="GA58" s="375"/>
      <c r="GB58" s="375"/>
      <c r="GC58" s="375"/>
      <c r="GD58" s="375"/>
      <c r="GE58" s="375"/>
      <c r="GF58" s="375"/>
      <c r="GG58" s="375"/>
      <c r="GH58" s="375"/>
      <c r="GI58" s="375"/>
      <c r="GJ58" s="375"/>
      <c r="GK58" s="375"/>
      <c r="GL58" s="375"/>
      <c r="GM58" s="375"/>
      <c r="GN58" s="375"/>
      <c r="GO58" s="375"/>
      <c r="GP58" s="375"/>
      <c r="GQ58" s="375"/>
      <c r="GR58" s="375"/>
      <c r="GS58" s="375"/>
      <c r="GT58" s="375"/>
      <c r="GU58" s="375"/>
      <c r="GV58" s="375"/>
      <c r="GW58" s="375"/>
      <c r="GX58" s="375"/>
      <c r="GY58" s="375"/>
      <c r="GZ58" s="375"/>
      <c r="HA58" s="375"/>
      <c r="HB58" s="375"/>
      <c r="HC58" s="375"/>
      <c r="HD58" s="375"/>
      <c r="HE58" s="375"/>
      <c r="HF58" s="375"/>
      <c r="HG58" s="375"/>
      <c r="HH58" s="375"/>
      <c r="HI58" s="375"/>
      <c r="HJ58" s="375"/>
      <c r="HK58" s="375"/>
      <c r="HL58" s="375"/>
      <c r="HM58" s="375"/>
      <c r="HN58" s="375"/>
      <c r="HO58" s="375"/>
      <c r="HP58" s="375"/>
      <c r="HQ58" s="375"/>
      <c r="HR58" s="375"/>
      <c r="HS58" s="375"/>
      <c r="HT58" s="375"/>
      <c r="HU58" s="375"/>
      <c r="HV58" s="375"/>
      <c r="HW58" s="375"/>
      <c r="HX58" s="375"/>
      <c r="HY58" s="375"/>
      <c r="HZ58" s="375"/>
      <c r="IA58" s="375"/>
      <c r="IB58" s="375"/>
      <c r="IC58" s="375"/>
      <c r="ID58" s="375"/>
      <c r="IE58" s="375"/>
      <c r="IF58" s="375"/>
      <c r="IG58" s="375"/>
      <c r="IH58" s="375"/>
      <c r="II58" s="375"/>
      <c r="IJ58" s="375"/>
      <c r="IK58" s="375"/>
      <c r="IL58" s="375"/>
      <c r="IM58" s="375"/>
      <c r="IN58" s="375"/>
      <c r="IO58" s="375"/>
      <c r="IP58" s="375"/>
      <c r="IQ58" s="375"/>
      <c r="IR58" s="375"/>
      <c r="IS58" s="375"/>
      <c r="IT58" s="375"/>
      <c r="IU58" s="375"/>
      <c r="IV58" s="375"/>
      <c r="IW58" s="375"/>
      <c r="IX58" s="375"/>
      <c r="IY58" s="375"/>
      <c r="IZ58" s="375"/>
      <c r="JA58" s="375"/>
      <c r="JB58" s="375"/>
      <c r="JC58" s="375"/>
      <c r="JD58" s="375"/>
      <c r="JE58" s="375"/>
      <c r="JF58" s="375"/>
      <c r="JG58" s="375"/>
      <c r="JH58" s="375"/>
      <c r="JI58" s="375"/>
      <c r="JJ58" s="375"/>
      <c r="JK58" s="375"/>
      <c r="JL58" s="375"/>
      <c r="JM58" s="375"/>
      <c r="JN58" s="375"/>
      <c r="JO58" s="375"/>
      <c r="JP58" s="375"/>
      <c r="JQ58" s="375"/>
      <c r="JR58" s="375"/>
      <c r="JS58" s="375"/>
      <c r="JT58" s="375"/>
      <c r="JU58" s="375"/>
      <c r="JV58" s="375"/>
      <c r="JW58" s="375"/>
      <c r="JX58" s="375"/>
      <c r="JY58" s="375"/>
      <c r="JZ58" s="375"/>
      <c r="KA58" s="375"/>
      <c r="KB58" s="375"/>
      <c r="KC58" s="375"/>
      <c r="KD58" s="375"/>
      <c r="KE58" s="375"/>
      <c r="KF58" s="375"/>
      <c r="KG58" s="375"/>
      <c r="KH58" s="375"/>
      <c r="KI58" s="375"/>
      <c r="KJ58" s="375"/>
      <c r="KK58" s="375"/>
      <c r="KL58" s="375"/>
      <c r="KM58" s="375"/>
      <c r="KN58" s="375"/>
      <c r="KO58" s="375"/>
      <c r="KP58" s="375"/>
      <c r="KQ58" s="375"/>
      <c r="KR58" s="375"/>
      <c r="KS58" s="375"/>
      <c r="KT58" s="375"/>
      <c r="KU58" s="375"/>
      <c r="KV58" s="375"/>
      <c r="KW58" s="375"/>
      <c r="KX58" s="375"/>
      <c r="KY58" s="375"/>
      <c r="KZ58" s="375"/>
      <c r="LA58" s="375"/>
      <c r="LB58" s="375"/>
      <c r="LC58" s="375"/>
      <c r="LD58" s="375"/>
      <c r="LE58" s="375"/>
      <c r="LF58" s="375"/>
      <c r="LG58" s="375"/>
      <c r="LH58" s="375"/>
      <c r="LI58" s="375"/>
      <c r="LJ58" s="375"/>
      <c r="LK58" s="375"/>
      <c r="LL58" s="375"/>
      <c r="LM58" s="375"/>
      <c r="LN58" s="375"/>
      <c r="LO58" s="375"/>
      <c r="LP58" s="375"/>
      <c r="LQ58" s="375"/>
    </row>
    <row r="59" spans="1:329" s="254" customFormat="1">
      <c r="A59" s="535"/>
      <c r="B59" s="260"/>
      <c r="C59" s="274"/>
      <c r="D59" s="500">
        <v>5</v>
      </c>
      <c r="E59" s="304" t="s">
        <v>370</v>
      </c>
      <c r="F59" s="466">
        <v>1</v>
      </c>
      <c r="G59" s="258" t="s">
        <v>361</v>
      </c>
      <c r="H59" s="254" t="s">
        <v>366</v>
      </c>
      <c r="I59" s="254" t="s">
        <v>323</v>
      </c>
      <c r="L59" s="255"/>
      <c r="M59" s="25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5"/>
      <c r="AL59" s="375"/>
      <c r="AM59" s="375"/>
      <c r="AN59" s="375"/>
      <c r="AO59" s="375"/>
      <c r="AP59" s="375"/>
      <c r="AQ59" s="375"/>
      <c r="AR59" s="375"/>
      <c r="AS59" s="375"/>
      <c r="AT59" s="375"/>
      <c r="AU59" s="375"/>
      <c r="AV59" s="375"/>
      <c r="AW59" s="375"/>
      <c r="AX59" s="375"/>
      <c r="AY59" s="375"/>
      <c r="AZ59" s="375"/>
      <c r="BA59" s="375"/>
      <c r="BB59" s="375"/>
      <c r="BC59" s="375"/>
      <c r="BD59" s="375"/>
      <c r="BE59" s="375"/>
      <c r="BF59" s="375"/>
      <c r="BG59" s="375"/>
      <c r="BH59" s="375"/>
      <c r="BI59" s="375"/>
      <c r="BJ59" s="375"/>
      <c r="BK59" s="375"/>
      <c r="BL59" s="375"/>
      <c r="BM59" s="375"/>
      <c r="BN59" s="375"/>
      <c r="BO59" s="375"/>
      <c r="BP59" s="375"/>
      <c r="BQ59" s="375"/>
      <c r="BR59" s="375"/>
      <c r="BS59" s="375"/>
      <c r="BT59" s="375"/>
      <c r="BU59" s="375"/>
      <c r="BV59" s="375"/>
      <c r="BW59" s="375"/>
      <c r="BX59" s="375"/>
      <c r="BY59" s="375"/>
      <c r="BZ59" s="375"/>
      <c r="CA59" s="375"/>
      <c r="CB59" s="375"/>
      <c r="CC59" s="375"/>
      <c r="CD59" s="375"/>
      <c r="CE59" s="375"/>
      <c r="CF59" s="375"/>
      <c r="CG59" s="375"/>
      <c r="CH59" s="375"/>
      <c r="CI59" s="375"/>
      <c r="CJ59" s="375"/>
      <c r="CK59" s="375"/>
      <c r="CL59" s="375"/>
      <c r="CM59" s="375"/>
      <c r="CN59" s="375"/>
      <c r="CO59" s="375"/>
      <c r="CP59" s="375"/>
      <c r="CQ59" s="375"/>
      <c r="CR59" s="375"/>
      <c r="CS59" s="375"/>
      <c r="CT59" s="375"/>
      <c r="CU59" s="375"/>
      <c r="CV59" s="375"/>
      <c r="CW59" s="375"/>
      <c r="CX59" s="375"/>
      <c r="CY59" s="375"/>
      <c r="CZ59" s="375"/>
      <c r="DA59" s="375"/>
      <c r="DB59" s="375"/>
      <c r="DC59" s="375"/>
      <c r="DD59" s="375"/>
      <c r="DE59" s="375"/>
      <c r="DF59" s="375"/>
      <c r="DG59" s="375"/>
      <c r="DH59" s="375"/>
      <c r="DI59" s="375"/>
      <c r="DJ59" s="375"/>
      <c r="DK59" s="375"/>
      <c r="DL59" s="375"/>
      <c r="DM59" s="375"/>
      <c r="DN59" s="375"/>
      <c r="DO59" s="375"/>
      <c r="DP59" s="375"/>
      <c r="DQ59" s="375"/>
      <c r="DR59" s="375"/>
      <c r="DS59" s="375"/>
      <c r="DT59" s="375"/>
      <c r="DU59" s="375"/>
      <c r="DV59" s="375"/>
      <c r="DW59" s="375"/>
      <c r="DX59" s="375"/>
      <c r="DY59" s="375"/>
      <c r="DZ59" s="375"/>
      <c r="EA59" s="375"/>
      <c r="EB59" s="375"/>
      <c r="EC59" s="375"/>
      <c r="ED59" s="375"/>
      <c r="EE59" s="375"/>
      <c r="EF59" s="375"/>
      <c r="EG59" s="375"/>
      <c r="EH59" s="375"/>
      <c r="EI59" s="375"/>
      <c r="EJ59" s="375"/>
      <c r="EK59" s="375"/>
      <c r="EL59" s="375"/>
      <c r="EM59" s="375"/>
      <c r="EN59" s="375"/>
      <c r="EO59" s="375"/>
      <c r="EP59" s="375"/>
      <c r="EQ59" s="375"/>
      <c r="ER59" s="375"/>
      <c r="ES59" s="375"/>
      <c r="ET59" s="375"/>
      <c r="EU59" s="375"/>
      <c r="EV59" s="375"/>
      <c r="EW59" s="375"/>
      <c r="EX59" s="375"/>
      <c r="EY59" s="375"/>
      <c r="EZ59" s="375"/>
      <c r="FA59" s="375"/>
      <c r="FB59" s="375"/>
      <c r="FC59" s="375"/>
      <c r="FD59" s="375"/>
      <c r="FE59" s="375"/>
      <c r="FF59" s="375"/>
      <c r="FG59" s="375"/>
      <c r="FH59" s="375"/>
      <c r="FI59" s="375"/>
      <c r="FJ59" s="375"/>
      <c r="FK59" s="375"/>
      <c r="FL59" s="375"/>
      <c r="FM59" s="375"/>
      <c r="FN59" s="375"/>
      <c r="FO59" s="375"/>
      <c r="FP59" s="375"/>
      <c r="FQ59" s="375"/>
      <c r="FR59" s="375"/>
      <c r="FS59" s="375"/>
      <c r="FT59" s="375"/>
      <c r="FU59" s="375"/>
      <c r="FV59" s="375"/>
      <c r="FW59" s="375"/>
      <c r="FX59" s="375"/>
      <c r="FY59" s="375"/>
      <c r="FZ59" s="375"/>
      <c r="GA59" s="375"/>
      <c r="GB59" s="375"/>
      <c r="GC59" s="375"/>
      <c r="GD59" s="375"/>
      <c r="GE59" s="375"/>
      <c r="GF59" s="375"/>
      <c r="GG59" s="375"/>
      <c r="GH59" s="375"/>
      <c r="GI59" s="375"/>
      <c r="GJ59" s="375"/>
      <c r="GK59" s="375"/>
      <c r="GL59" s="375"/>
      <c r="GM59" s="375"/>
      <c r="GN59" s="375"/>
      <c r="GO59" s="375"/>
      <c r="GP59" s="375"/>
      <c r="GQ59" s="375"/>
      <c r="GR59" s="375"/>
      <c r="GS59" s="375"/>
      <c r="GT59" s="375"/>
      <c r="GU59" s="375"/>
      <c r="GV59" s="375"/>
      <c r="GW59" s="375"/>
      <c r="GX59" s="375"/>
      <c r="GY59" s="375"/>
      <c r="GZ59" s="375"/>
      <c r="HA59" s="375"/>
      <c r="HB59" s="375"/>
      <c r="HC59" s="375"/>
      <c r="HD59" s="375"/>
      <c r="HE59" s="375"/>
      <c r="HF59" s="375"/>
      <c r="HG59" s="375"/>
      <c r="HH59" s="375"/>
      <c r="HI59" s="375"/>
      <c r="HJ59" s="375"/>
      <c r="HK59" s="375"/>
      <c r="HL59" s="375"/>
      <c r="HM59" s="375"/>
      <c r="HN59" s="375"/>
      <c r="HO59" s="375"/>
      <c r="HP59" s="375"/>
      <c r="HQ59" s="375"/>
      <c r="HR59" s="375"/>
      <c r="HS59" s="375"/>
      <c r="HT59" s="375"/>
      <c r="HU59" s="375"/>
      <c r="HV59" s="375"/>
      <c r="HW59" s="375"/>
      <c r="HX59" s="375"/>
      <c r="HY59" s="375"/>
      <c r="HZ59" s="375"/>
      <c r="IA59" s="375"/>
      <c r="IB59" s="375"/>
      <c r="IC59" s="375"/>
      <c r="ID59" s="375"/>
      <c r="IE59" s="375"/>
      <c r="IF59" s="375"/>
      <c r="IG59" s="375"/>
      <c r="IH59" s="375"/>
      <c r="II59" s="375"/>
      <c r="IJ59" s="375"/>
      <c r="IK59" s="375"/>
      <c r="IL59" s="375"/>
      <c r="IM59" s="375"/>
      <c r="IN59" s="375"/>
      <c r="IO59" s="375"/>
      <c r="IP59" s="375"/>
      <c r="IQ59" s="375"/>
      <c r="IR59" s="375"/>
      <c r="IS59" s="375"/>
      <c r="IT59" s="375"/>
      <c r="IU59" s="375"/>
      <c r="IV59" s="375"/>
      <c r="IW59" s="375"/>
      <c r="IX59" s="375"/>
      <c r="IY59" s="375"/>
      <c r="IZ59" s="375"/>
      <c r="JA59" s="375"/>
      <c r="JB59" s="375"/>
      <c r="JC59" s="375"/>
      <c r="JD59" s="375"/>
      <c r="JE59" s="375"/>
      <c r="JF59" s="375"/>
      <c r="JG59" s="375"/>
      <c r="JH59" s="375"/>
      <c r="JI59" s="375"/>
      <c r="JJ59" s="375"/>
      <c r="JK59" s="375"/>
      <c r="JL59" s="375"/>
      <c r="JM59" s="375"/>
      <c r="JN59" s="375"/>
      <c r="JO59" s="375"/>
      <c r="JP59" s="375"/>
      <c r="JQ59" s="375"/>
      <c r="JR59" s="375"/>
      <c r="JS59" s="375"/>
      <c r="JT59" s="375"/>
      <c r="JU59" s="375"/>
      <c r="JV59" s="375"/>
      <c r="JW59" s="375"/>
      <c r="JX59" s="375"/>
      <c r="JY59" s="375"/>
      <c r="JZ59" s="375"/>
      <c r="KA59" s="375"/>
      <c r="KB59" s="375"/>
      <c r="KC59" s="375"/>
      <c r="KD59" s="375"/>
      <c r="KE59" s="375"/>
      <c r="KF59" s="375"/>
      <c r="KG59" s="375"/>
      <c r="KH59" s="375"/>
      <c r="KI59" s="375"/>
      <c r="KJ59" s="375"/>
      <c r="KK59" s="375"/>
      <c r="KL59" s="375"/>
      <c r="KM59" s="375"/>
      <c r="KN59" s="375"/>
      <c r="KO59" s="375"/>
      <c r="KP59" s="375"/>
      <c r="KQ59" s="375"/>
      <c r="KR59" s="375"/>
      <c r="KS59" s="375"/>
      <c r="KT59" s="375"/>
      <c r="KU59" s="375"/>
      <c r="KV59" s="375"/>
      <c r="KW59" s="375"/>
      <c r="KX59" s="375"/>
      <c r="KY59" s="375"/>
      <c r="KZ59" s="375"/>
      <c r="LA59" s="375"/>
      <c r="LB59" s="375"/>
      <c r="LC59" s="375"/>
      <c r="LD59" s="375"/>
      <c r="LE59" s="375"/>
      <c r="LF59" s="375"/>
      <c r="LG59" s="375"/>
      <c r="LH59" s="375"/>
      <c r="LI59" s="375"/>
      <c r="LJ59" s="375"/>
      <c r="LK59" s="375"/>
      <c r="LL59" s="375"/>
      <c r="LM59" s="375"/>
      <c r="LN59" s="375"/>
      <c r="LO59" s="375"/>
      <c r="LP59" s="375"/>
      <c r="LQ59" s="375"/>
    </row>
    <row r="60" spans="1:329" s="254" customFormat="1">
      <c r="A60" s="535"/>
      <c r="B60" s="260"/>
      <c r="C60" s="274"/>
      <c r="D60" s="500">
        <v>6</v>
      </c>
      <c r="E60" s="304" t="s">
        <v>371</v>
      </c>
      <c r="F60" s="466">
        <v>1</v>
      </c>
      <c r="G60" s="258" t="s">
        <v>361</v>
      </c>
      <c r="H60" s="254" t="s">
        <v>366</v>
      </c>
      <c r="I60" s="254" t="s">
        <v>323</v>
      </c>
      <c r="L60" s="255"/>
      <c r="M60" s="255"/>
      <c r="N60" s="375"/>
      <c r="O60" s="375"/>
      <c r="P60" s="375"/>
      <c r="Q60" s="375"/>
      <c r="R60" s="375"/>
      <c r="S60" s="375"/>
      <c r="T60" s="375"/>
      <c r="U60" s="375"/>
      <c r="V60" s="375"/>
      <c r="W60" s="375"/>
      <c r="X60" s="375"/>
      <c r="Y60" s="375"/>
      <c r="Z60" s="375"/>
      <c r="AA60" s="375"/>
      <c r="AB60" s="375"/>
      <c r="AC60" s="375"/>
      <c r="AD60" s="375"/>
      <c r="AE60" s="375"/>
      <c r="AF60" s="375"/>
      <c r="AG60" s="375"/>
      <c r="AH60" s="375"/>
      <c r="AI60" s="375"/>
      <c r="AJ60" s="375"/>
      <c r="AK60" s="375"/>
      <c r="AL60" s="375"/>
      <c r="AM60" s="375"/>
      <c r="AN60" s="375"/>
      <c r="AO60" s="375"/>
      <c r="AP60" s="375"/>
      <c r="AQ60" s="375"/>
      <c r="AR60" s="375"/>
      <c r="AS60" s="375"/>
      <c r="AT60" s="375"/>
      <c r="AU60" s="375"/>
      <c r="AV60" s="375"/>
      <c r="AW60" s="375"/>
      <c r="AX60" s="375"/>
      <c r="AY60" s="375"/>
      <c r="AZ60" s="375"/>
      <c r="BA60" s="375"/>
      <c r="BB60" s="375"/>
      <c r="BC60" s="375"/>
      <c r="BD60" s="375"/>
      <c r="BE60" s="375"/>
      <c r="BF60" s="375"/>
      <c r="BG60" s="375"/>
      <c r="BH60" s="375"/>
      <c r="BI60" s="375"/>
      <c r="BJ60" s="375"/>
      <c r="BK60" s="375"/>
      <c r="BL60" s="375"/>
      <c r="BM60" s="375"/>
      <c r="BN60" s="375"/>
      <c r="BO60" s="375"/>
      <c r="BP60" s="375"/>
      <c r="BQ60" s="375"/>
      <c r="BR60" s="375"/>
      <c r="BS60" s="375"/>
      <c r="BT60" s="375"/>
      <c r="BU60" s="375"/>
      <c r="BV60" s="375"/>
      <c r="BW60" s="375"/>
      <c r="BX60" s="375"/>
      <c r="BY60" s="375"/>
      <c r="BZ60" s="375"/>
      <c r="CA60" s="375"/>
      <c r="CB60" s="375"/>
      <c r="CC60" s="375"/>
      <c r="CD60" s="375"/>
      <c r="CE60" s="375"/>
      <c r="CF60" s="375"/>
      <c r="CG60" s="375"/>
      <c r="CH60" s="375"/>
      <c r="CI60" s="375"/>
      <c r="CJ60" s="375"/>
      <c r="CK60" s="375"/>
      <c r="CL60" s="375"/>
      <c r="CM60" s="375"/>
      <c r="CN60" s="375"/>
      <c r="CO60" s="375"/>
      <c r="CP60" s="375"/>
      <c r="CQ60" s="375"/>
      <c r="CR60" s="375"/>
      <c r="CS60" s="375"/>
      <c r="CT60" s="375"/>
      <c r="CU60" s="375"/>
      <c r="CV60" s="375"/>
      <c r="CW60" s="375"/>
      <c r="CX60" s="375"/>
      <c r="CY60" s="375"/>
      <c r="CZ60" s="375"/>
      <c r="DA60" s="375"/>
      <c r="DB60" s="375"/>
      <c r="DC60" s="375"/>
      <c r="DD60" s="375"/>
      <c r="DE60" s="375"/>
      <c r="DF60" s="375"/>
      <c r="DG60" s="375"/>
      <c r="DH60" s="375"/>
      <c r="DI60" s="375"/>
      <c r="DJ60" s="375"/>
      <c r="DK60" s="375"/>
      <c r="DL60" s="375"/>
      <c r="DM60" s="375"/>
      <c r="DN60" s="375"/>
      <c r="DO60" s="375"/>
      <c r="DP60" s="375"/>
      <c r="DQ60" s="375"/>
      <c r="DR60" s="375"/>
      <c r="DS60" s="375"/>
      <c r="DT60" s="375"/>
      <c r="DU60" s="375"/>
      <c r="DV60" s="375"/>
      <c r="DW60" s="375"/>
      <c r="DX60" s="375"/>
      <c r="DY60" s="375"/>
      <c r="DZ60" s="375"/>
      <c r="EA60" s="375"/>
      <c r="EB60" s="375"/>
      <c r="EC60" s="375"/>
      <c r="ED60" s="375"/>
      <c r="EE60" s="375"/>
      <c r="EF60" s="375"/>
      <c r="EG60" s="375"/>
      <c r="EH60" s="375"/>
      <c r="EI60" s="375"/>
      <c r="EJ60" s="375"/>
      <c r="EK60" s="375"/>
      <c r="EL60" s="375"/>
      <c r="EM60" s="375"/>
      <c r="EN60" s="375"/>
      <c r="EO60" s="375"/>
      <c r="EP60" s="375"/>
      <c r="EQ60" s="375"/>
      <c r="ER60" s="375"/>
      <c r="ES60" s="375"/>
      <c r="ET60" s="375"/>
      <c r="EU60" s="375"/>
      <c r="EV60" s="375"/>
      <c r="EW60" s="375"/>
      <c r="EX60" s="375"/>
      <c r="EY60" s="375"/>
      <c r="EZ60" s="375"/>
      <c r="FA60" s="375"/>
      <c r="FB60" s="375"/>
      <c r="FC60" s="375"/>
      <c r="FD60" s="375"/>
      <c r="FE60" s="375"/>
      <c r="FF60" s="375"/>
      <c r="FG60" s="375"/>
      <c r="FH60" s="375"/>
      <c r="FI60" s="375"/>
      <c r="FJ60" s="375"/>
      <c r="FK60" s="375"/>
      <c r="FL60" s="375"/>
      <c r="FM60" s="375"/>
      <c r="FN60" s="375"/>
      <c r="FO60" s="375"/>
      <c r="FP60" s="375"/>
      <c r="FQ60" s="375"/>
      <c r="FR60" s="375"/>
      <c r="FS60" s="375"/>
      <c r="FT60" s="375"/>
      <c r="FU60" s="375"/>
      <c r="FV60" s="375"/>
      <c r="FW60" s="375"/>
      <c r="FX60" s="375"/>
      <c r="FY60" s="375"/>
      <c r="FZ60" s="375"/>
      <c r="GA60" s="375"/>
      <c r="GB60" s="375"/>
      <c r="GC60" s="375"/>
      <c r="GD60" s="375"/>
      <c r="GE60" s="375"/>
      <c r="GF60" s="375"/>
      <c r="GG60" s="375"/>
      <c r="GH60" s="375"/>
      <c r="GI60" s="375"/>
      <c r="GJ60" s="375"/>
      <c r="GK60" s="375"/>
      <c r="GL60" s="375"/>
      <c r="GM60" s="375"/>
      <c r="GN60" s="375"/>
      <c r="GO60" s="375"/>
      <c r="GP60" s="375"/>
      <c r="GQ60" s="375"/>
      <c r="GR60" s="375"/>
      <c r="GS60" s="375"/>
      <c r="GT60" s="375"/>
      <c r="GU60" s="375"/>
      <c r="GV60" s="375"/>
      <c r="GW60" s="375"/>
      <c r="GX60" s="375"/>
      <c r="GY60" s="375"/>
      <c r="GZ60" s="375"/>
      <c r="HA60" s="375"/>
      <c r="HB60" s="375"/>
      <c r="HC60" s="375"/>
      <c r="HD60" s="375"/>
      <c r="HE60" s="375"/>
      <c r="HF60" s="375"/>
      <c r="HG60" s="375"/>
      <c r="HH60" s="375"/>
      <c r="HI60" s="375"/>
      <c r="HJ60" s="375"/>
      <c r="HK60" s="375"/>
      <c r="HL60" s="375"/>
      <c r="HM60" s="375"/>
      <c r="HN60" s="375"/>
      <c r="HO60" s="375"/>
      <c r="HP60" s="375"/>
      <c r="HQ60" s="375"/>
      <c r="HR60" s="375"/>
      <c r="HS60" s="375"/>
      <c r="HT60" s="375"/>
      <c r="HU60" s="375"/>
      <c r="HV60" s="375"/>
      <c r="HW60" s="375"/>
      <c r="HX60" s="375"/>
      <c r="HY60" s="375"/>
      <c r="HZ60" s="375"/>
      <c r="IA60" s="375"/>
      <c r="IB60" s="375"/>
      <c r="IC60" s="375"/>
      <c r="ID60" s="375"/>
      <c r="IE60" s="375"/>
      <c r="IF60" s="375"/>
      <c r="IG60" s="375"/>
      <c r="IH60" s="375"/>
      <c r="II60" s="375"/>
      <c r="IJ60" s="375"/>
      <c r="IK60" s="375"/>
      <c r="IL60" s="375"/>
      <c r="IM60" s="375"/>
      <c r="IN60" s="375"/>
      <c r="IO60" s="375"/>
      <c r="IP60" s="375"/>
      <c r="IQ60" s="375"/>
      <c r="IR60" s="375"/>
      <c r="IS60" s="375"/>
      <c r="IT60" s="375"/>
      <c r="IU60" s="375"/>
      <c r="IV60" s="375"/>
      <c r="IW60" s="375"/>
      <c r="IX60" s="375"/>
      <c r="IY60" s="375"/>
      <c r="IZ60" s="375"/>
      <c r="JA60" s="375"/>
      <c r="JB60" s="375"/>
      <c r="JC60" s="375"/>
      <c r="JD60" s="375"/>
      <c r="JE60" s="375"/>
      <c r="JF60" s="375"/>
      <c r="JG60" s="375"/>
      <c r="JH60" s="375"/>
      <c r="JI60" s="375"/>
      <c r="JJ60" s="375"/>
      <c r="JK60" s="375"/>
      <c r="JL60" s="375"/>
      <c r="JM60" s="375"/>
      <c r="JN60" s="375"/>
      <c r="JO60" s="375"/>
      <c r="JP60" s="375"/>
      <c r="JQ60" s="375"/>
      <c r="JR60" s="375"/>
      <c r="JS60" s="375"/>
      <c r="JT60" s="375"/>
      <c r="JU60" s="375"/>
      <c r="JV60" s="375"/>
      <c r="JW60" s="375"/>
      <c r="JX60" s="375"/>
      <c r="JY60" s="375"/>
      <c r="JZ60" s="375"/>
      <c r="KA60" s="375"/>
      <c r="KB60" s="375"/>
      <c r="KC60" s="375"/>
      <c r="KD60" s="375"/>
      <c r="KE60" s="375"/>
      <c r="KF60" s="375"/>
      <c r="KG60" s="375"/>
      <c r="KH60" s="375"/>
      <c r="KI60" s="375"/>
      <c r="KJ60" s="375"/>
      <c r="KK60" s="375"/>
      <c r="KL60" s="375"/>
      <c r="KM60" s="375"/>
      <c r="KN60" s="375"/>
      <c r="KO60" s="375"/>
      <c r="KP60" s="375"/>
      <c r="KQ60" s="375"/>
      <c r="KR60" s="375"/>
      <c r="KS60" s="375"/>
      <c r="KT60" s="375"/>
      <c r="KU60" s="375"/>
      <c r="KV60" s="375"/>
      <c r="KW60" s="375"/>
      <c r="KX60" s="375"/>
      <c r="KY60" s="375"/>
      <c r="KZ60" s="375"/>
      <c r="LA60" s="375"/>
      <c r="LB60" s="375"/>
      <c r="LC60" s="375"/>
      <c r="LD60" s="375"/>
      <c r="LE60" s="375"/>
      <c r="LF60" s="375"/>
      <c r="LG60" s="375"/>
      <c r="LH60" s="375"/>
      <c r="LI60" s="375"/>
      <c r="LJ60" s="375"/>
      <c r="LK60" s="375"/>
      <c r="LL60" s="375"/>
      <c r="LM60" s="375"/>
      <c r="LN60" s="375"/>
      <c r="LO60" s="375"/>
      <c r="LP60" s="375"/>
      <c r="LQ60" s="375"/>
    </row>
    <row r="61" spans="1:329" s="254" customFormat="1">
      <c r="A61" s="535"/>
      <c r="B61" s="260"/>
      <c r="C61" s="274"/>
      <c r="D61" s="500">
        <v>7</v>
      </c>
      <c r="E61" s="304" t="s">
        <v>372</v>
      </c>
      <c r="F61" s="466">
        <v>1</v>
      </c>
      <c r="G61" s="258" t="s">
        <v>361</v>
      </c>
      <c r="H61" s="254" t="s">
        <v>366</v>
      </c>
      <c r="I61" s="254" t="s">
        <v>323</v>
      </c>
      <c r="L61" s="255"/>
      <c r="M61" s="255"/>
      <c r="N61" s="375"/>
      <c r="O61" s="375"/>
      <c r="P61" s="375"/>
      <c r="Q61" s="375"/>
      <c r="R61" s="375"/>
      <c r="S61" s="375"/>
      <c r="T61" s="375"/>
      <c r="U61" s="375"/>
      <c r="V61" s="375"/>
      <c r="W61" s="375"/>
      <c r="X61" s="375"/>
      <c r="Y61" s="375"/>
      <c r="Z61" s="375"/>
      <c r="AA61" s="375"/>
      <c r="AB61" s="375"/>
      <c r="AC61" s="375"/>
      <c r="AD61" s="375"/>
      <c r="AE61" s="375"/>
      <c r="AF61" s="375"/>
      <c r="AG61" s="375"/>
      <c r="AH61" s="375"/>
      <c r="AI61" s="375"/>
      <c r="AJ61" s="375"/>
      <c r="AK61" s="375"/>
      <c r="AL61" s="375"/>
      <c r="AM61" s="375"/>
      <c r="AN61" s="375"/>
      <c r="AO61" s="375"/>
      <c r="AP61" s="375"/>
      <c r="AQ61" s="375"/>
      <c r="AR61" s="375"/>
      <c r="AS61" s="375"/>
      <c r="AT61" s="375"/>
      <c r="AU61" s="375"/>
      <c r="AV61" s="375"/>
      <c r="AW61" s="375"/>
      <c r="AX61" s="375"/>
      <c r="AY61" s="375"/>
      <c r="AZ61" s="375"/>
      <c r="BA61" s="375"/>
      <c r="BB61" s="375"/>
      <c r="BC61" s="375"/>
      <c r="BD61" s="375"/>
      <c r="BE61" s="375"/>
      <c r="BF61" s="375"/>
      <c r="BG61" s="375"/>
      <c r="BH61" s="375"/>
      <c r="BI61" s="375"/>
      <c r="BJ61" s="375"/>
      <c r="BK61" s="375"/>
      <c r="BL61" s="375"/>
      <c r="BM61" s="375"/>
      <c r="BN61" s="375"/>
      <c r="BO61" s="375"/>
      <c r="BP61" s="375"/>
      <c r="BQ61" s="375"/>
      <c r="BR61" s="375"/>
      <c r="BS61" s="375"/>
      <c r="BT61" s="375"/>
      <c r="BU61" s="375"/>
      <c r="BV61" s="375"/>
      <c r="BW61" s="375"/>
      <c r="BX61" s="375"/>
      <c r="BY61" s="375"/>
      <c r="BZ61" s="375"/>
      <c r="CA61" s="375"/>
      <c r="CB61" s="375"/>
      <c r="CC61" s="375"/>
      <c r="CD61" s="375"/>
      <c r="CE61" s="375"/>
      <c r="CF61" s="375"/>
      <c r="CG61" s="375"/>
      <c r="CH61" s="375"/>
      <c r="CI61" s="375"/>
      <c r="CJ61" s="375"/>
      <c r="CK61" s="375"/>
      <c r="CL61" s="375"/>
      <c r="CM61" s="375"/>
      <c r="CN61" s="375"/>
      <c r="CO61" s="375"/>
      <c r="CP61" s="375"/>
      <c r="CQ61" s="375"/>
      <c r="CR61" s="375"/>
      <c r="CS61" s="375"/>
      <c r="CT61" s="375"/>
      <c r="CU61" s="375"/>
      <c r="CV61" s="375"/>
      <c r="CW61" s="375"/>
      <c r="CX61" s="375"/>
      <c r="CY61" s="375"/>
      <c r="CZ61" s="375"/>
      <c r="DA61" s="375"/>
      <c r="DB61" s="375"/>
      <c r="DC61" s="375"/>
      <c r="DD61" s="375"/>
      <c r="DE61" s="375"/>
      <c r="DF61" s="375"/>
      <c r="DG61" s="375"/>
      <c r="DH61" s="375"/>
      <c r="DI61" s="375"/>
      <c r="DJ61" s="375"/>
      <c r="DK61" s="375"/>
      <c r="DL61" s="375"/>
      <c r="DM61" s="375"/>
      <c r="DN61" s="375"/>
      <c r="DO61" s="375"/>
      <c r="DP61" s="375"/>
      <c r="DQ61" s="375"/>
      <c r="DR61" s="375"/>
      <c r="DS61" s="375"/>
      <c r="DT61" s="375"/>
      <c r="DU61" s="375"/>
      <c r="DV61" s="375"/>
      <c r="DW61" s="375"/>
      <c r="DX61" s="375"/>
      <c r="DY61" s="375"/>
      <c r="DZ61" s="375"/>
      <c r="EA61" s="375"/>
      <c r="EB61" s="375"/>
      <c r="EC61" s="375"/>
      <c r="ED61" s="375"/>
      <c r="EE61" s="375"/>
      <c r="EF61" s="375"/>
      <c r="EG61" s="375"/>
      <c r="EH61" s="375"/>
      <c r="EI61" s="375"/>
      <c r="EJ61" s="375"/>
      <c r="EK61" s="375"/>
      <c r="EL61" s="375"/>
      <c r="EM61" s="375"/>
      <c r="EN61" s="375"/>
      <c r="EO61" s="375"/>
      <c r="EP61" s="375"/>
      <c r="EQ61" s="375"/>
      <c r="ER61" s="375"/>
      <c r="ES61" s="375"/>
      <c r="ET61" s="375"/>
      <c r="EU61" s="375"/>
      <c r="EV61" s="375"/>
      <c r="EW61" s="375"/>
      <c r="EX61" s="375"/>
      <c r="EY61" s="375"/>
      <c r="EZ61" s="375"/>
      <c r="FA61" s="375"/>
      <c r="FB61" s="375"/>
      <c r="FC61" s="375"/>
      <c r="FD61" s="375"/>
      <c r="FE61" s="375"/>
      <c r="FF61" s="375"/>
      <c r="FG61" s="375"/>
      <c r="FH61" s="375"/>
      <c r="FI61" s="375"/>
      <c r="FJ61" s="375"/>
      <c r="FK61" s="375"/>
      <c r="FL61" s="375"/>
      <c r="FM61" s="375"/>
      <c r="FN61" s="375"/>
      <c r="FO61" s="375"/>
      <c r="FP61" s="375"/>
      <c r="FQ61" s="375"/>
      <c r="FR61" s="375"/>
      <c r="FS61" s="375"/>
      <c r="FT61" s="375"/>
      <c r="FU61" s="375"/>
      <c r="FV61" s="375"/>
      <c r="FW61" s="375"/>
      <c r="FX61" s="375"/>
      <c r="FY61" s="375"/>
      <c r="FZ61" s="375"/>
      <c r="GA61" s="375"/>
      <c r="GB61" s="375"/>
      <c r="GC61" s="375"/>
      <c r="GD61" s="375"/>
      <c r="GE61" s="375"/>
      <c r="GF61" s="375"/>
      <c r="GG61" s="375"/>
      <c r="GH61" s="375"/>
      <c r="GI61" s="375"/>
      <c r="GJ61" s="375"/>
      <c r="GK61" s="375"/>
      <c r="GL61" s="375"/>
      <c r="GM61" s="375"/>
      <c r="GN61" s="375"/>
      <c r="GO61" s="375"/>
      <c r="GP61" s="375"/>
      <c r="GQ61" s="375"/>
      <c r="GR61" s="375"/>
      <c r="GS61" s="375"/>
      <c r="GT61" s="375"/>
      <c r="GU61" s="375"/>
      <c r="GV61" s="375"/>
      <c r="GW61" s="375"/>
      <c r="GX61" s="375"/>
      <c r="GY61" s="375"/>
      <c r="GZ61" s="375"/>
      <c r="HA61" s="375"/>
      <c r="HB61" s="375"/>
      <c r="HC61" s="375"/>
      <c r="HD61" s="375"/>
      <c r="HE61" s="375"/>
      <c r="HF61" s="375"/>
      <c r="HG61" s="375"/>
      <c r="HH61" s="375"/>
      <c r="HI61" s="375"/>
      <c r="HJ61" s="375"/>
      <c r="HK61" s="375"/>
      <c r="HL61" s="375"/>
      <c r="HM61" s="375"/>
      <c r="HN61" s="375"/>
      <c r="HO61" s="375"/>
      <c r="HP61" s="375"/>
      <c r="HQ61" s="375"/>
      <c r="HR61" s="375"/>
      <c r="HS61" s="375"/>
      <c r="HT61" s="375"/>
      <c r="HU61" s="375"/>
      <c r="HV61" s="375"/>
      <c r="HW61" s="375"/>
      <c r="HX61" s="375"/>
      <c r="HY61" s="375"/>
      <c r="HZ61" s="375"/>
      <c r="IA61" s="375"/>
      <c r="IB61" s="375"/>
      <c r="IC61" s="375"/>
      <c r="ID61" s="375"/>
      <c r="IE61" s="375"/>
      <c r="IF61" s="375"/>
      <c r="IG61" s="375"/>
      <c r="IH61" s="375"/>
      <c r="II61" s="375"/>
      <c r="IJ61" s="375"/>
      <c r="IK61" s="375"/>
      <c r="IL61" s="375"/>
      <c r="IM61" s="375"/>
      <c r="IN61" s="375"/>
      <c r="IO61" s="375"/>
      <c r="IP61" s="375"/>
      <c r="IQ61" s="375"/>
      <c r="IR61" s="375"/>
      <c r="IS61" s="375"/>
      <c r="IT61" s="375"/>
      <c r="IU61" s="375"/>
      <c r="IV61" s="375"/>
      <c r="IW61" s="375"/>
      <c r="IX61" s="375"/>
      <c r="IY61" s="375"/>
      <c r="IZ61" s="375"/>
      <c r="JA61" s="375"/>
      <c r="JB61" s="375"/>
      <c r="JC61" s="375"/>
      <c r="JD61" s="375"/>
      <c r="JE61" s="375"/>
      <c r="JF61" s="375"/>
      <c r="JG61" s="375"/>
      <c r="JH61" s="375"/>
      <c r="JI61" s="375"/>
      <c r="JJ61" s="375"/>
      <c r="JK61" s="375"/>
      <c r="JL61" s="375"/>
      <c r="JM61" s="375"/>
      <c r="JN61" s="375"/>
      <c r="JO61" s="375"/>
      <c r="JP61" s="375"/>
      <c r="JQ61" s="375"/>
      <c r="JR61" s="375"/>
      <c r="JS61" s="375"/>
      <c r="JT61" s="375"/>
      <c r="JU61" s="375"/>
      <c r="JV61" s="375"/>
      <c r="JW61" s="375"/>
      <c r="JX61" s="375"/>
      <c r="JY61" s="375"/>
      <c r="JZ61" s="375"/>
      <c r="KA61" s="375"/>
      <c r="KB61" s="375"/>
      <c r="KC61" s="375"/>
      <c r="KD61" s="375"/>
      <c r="KE61" s="375"/>
      <c r="KF61" s="375"/>
      <c r="KG61" s="375"/>
      <c r="KH61" s="375"/>
      <c r="KI61" s="375"/>
      <c r="KJ61" s="375"/>
      <c r="KK61" s="375"/>
      <c r="KL61" s="375"/>
      <c r="KM61" s="375"/>
      <c r="KN61" s="375"/>
      <c r="KO61" s="375"/>
      <c r="KP61" s="375"/>
      <c r="KQ61" s="375"/>
      <c r="KR61" s="375"/>
      <c r="KS61" s="375"/>
      <c r="KT61" s="375"/>
      <c r="KU61" s="375"/>
      <c r="KV61" s="375"/>
      <c r="KW61" s="375"/>
      <c r="KX61" s="375"/>
      <c r="KY61" s="375"/>
      <c r="KZ61" s="375"/>
      <c r="LA61" s="375"/>
      <c r="LB61" s="375"/>
      <c r="LC61" s="375"/>
      <c r="LD61" s="375"/>
      <c r="LE61" s="375"/>
      <c r="LF61" s="375"/>
      <c r="LG61" s="375"/>
      <c r="LH61" s="375"/>
      <c r="LI61" s="375"/>
      <c r="LJ61" s="375"/>
      <c r="LK61" s="375"/>
      <c r="LL61" s="375"/>
      <c r="LM61" s="375"/>
      <c r="LN61" s="375"/>
      <c r="LO61" s="375"/>
      <c r="LP61" s="375"/>
      <c r="LQ61" s="375"/>
    </row>
    <row r="62" spans="1:329" s="254" customFormat="1">
      <c r="A62" s="535"/>
      <c r="B62" s="260"/>
      <c r="C62" s="274"/>
      <c r="D62" s="500">
        <v>8</v>
      </c>
      <c r="E62" s="304" t="s">
        <v>373</v>
      </c>
      <c r="F62" s="466">
        <v>1</v>
      </c>
      <c r="G62" s="258" t="s">
        <v>361</v>
      </c>
      <c r="H62" s="254" t="s">
        <v>366</v>
      </c>
      <c r="I62" s="254" t="s">
        <v>323</v>
      </c>
      <c r="L62" s="255"/>
      <c r="M62" s="255"/>
      <c r="N62" s="375"/>
      <c r="O62" s="375"/>
      <c r="P62" s="375"/>
      <c r="Q62" s="375"/>
      <c r="R62" s="375"/>
      <c r="S62" s="375"/>
      <c r="T62" s="375"/>
      <c r="U62" s="375"/>
      <c r="V62" s="375"/>
      <c r="W62" s="375"/>
      <c r="X62" s="375"/>
      <c r="Y62" s="375"/>
      <c r="Z62" s="375"/>
      <c r="AA62" s="375"/>
      <c r="AB62" s="375"/>
      <c r="AC62" s="375"/>
      <c r="AD62" s="375"/>
      <c r="AE62" s="375"/>
      <c r="AF62" s="375"/>
      <c r="AG62" s="375"/>
      <c r="AH62" s="375"/>
      <c r="AI62" s="375"/>
      <c r="AJ62" s="375"/>
      <c r="AK62" s="375"/>
      <c r="AL62" s="375"/>
      <c r="AM62" s="375"/>
      <c r="AN62" s="375"/>
      <c r="AO62" s="375"/>
      <c r="AP62" s="375"/>
      <c r="AQ62" s="375"/>
      <c r="AR62" s="375"/>
      <c r="AS62" s="375"/>
      <c r="AT62" s="375"/>
      <c r="AU62" s="375"/>
      <c r="AV62" s="375"/>
      <c r="AW62" s="375"/>
      <c r="AX62" s="375"/>
      <c r="AY62" s="375"/>
      <c r="AZ62" s="375"/>
      <c r="BA62" s="375"/>
      <c r="BB62" s="375"/>
      <c r="BC62" s="375"/>
      <c r="BD62" s="375"/>
      <c r="BE62" s="375"/>
      <c r="BF62" s="375"/>
      <c r="BG62" s="375"/>
      <c r="BH62" s="375"/>
      <c r="BI62" s="375"/>
      <c r="BJ62" s="375"/>
      <c r="BK62" s="375"/>
      <c r="BL62" s="375"/>
      <c r="BM62" s="375"/>
      <c r="BN62" s="375"/>
      <c r="BO62" s="375"/>
      <c r="BP62" s="375"/>
      <c r="BQ62" s="375"/>
      <c r="BR62" s="375"/>
      <c r="BS62" s="375"/>
      <c r="BT62" s="375"/>
      <c r="BU62" s="375"/>
      <c r="BV62" s="375"/>
      <c r="BW62" s="375"/>
      <c r="BX62" s="375"/>
      <c r="BY62" s="375"/>
      <c r="BZ62" s="375"/>
      <c r="CA62" s="375"/>
      <c r="CB62" s="375"/>
      <c r="CC62" s="375"/>
      <c r="CD62" s="375"/>
      <c r="CE62" s="375"/>
      <c r="CF62" s="375"/>
      <c r="CG62" s="375"/>
      <c r="CH62" s="375"/>
      <c r="CI62" s="375"/>
      <c r="CJ62" s="375"/>
      <c r="CK62" s="375"/>
      <c r="CL62" s="375"/>
      <c r="CM62" s="375"/>
      <c r="CN62" s="375"/>
      <c r="CO62" s="375"/>
      <c r="CP62" s="375"/>
      <c r="CQ62" s="375"/>
      <c r="CR62" s="375"/>
      <c r="CS62" s="375"/>
      <c r="CT62" s="375"/>
      <c r="CU62" s="375"/>
      <c r="CV62" s="375"/>
      <c r="CW62" s="375"/>
      <c r="CX62" s="375"/>
      <c r="CY62" s="375"/>
      <c r="CZ62" s="375"/>
      <c r="DA62" s="375"/>
      <c r="DB62" s="375"/>
      <c r="DC62" s="375"/>
      <c r="DD62" s="375"/>
      <c r="DE62" s="375"/>
      <c r="DF62" s="375"/>
      <c r="DG62" s="375"/>
      <c r="DH62" s="375"/>
      <c r="DI62" s="375"/>
      <c r="DJ62" s="375"/>
      <c r="DK62" s="375"/>
      <c r="DL62" s="375"/>
      <c r="DM62" s="375"/>
      <c r="DN62" s="375"/>
      <c r="DO62" s="375"/>
      <c r="DP62" s="375"/>
      <c r="DQ62" s="375"/>
      <c r="DR62" s="375"/>
      <c r="DS62" s="375"/>
      <c r="DT62" s="375"/>
      <c r="DU62" s="375"/>
      <c r="DV62" s="375"/>
      <c r="DW62" s="375"/>
      <c r="DX62" s="375"/>
      <c r="DY62" s="375"/>
      <c r="DZ62" s="375"/>
      <c r="EA62" s="375"/>
      <c r="EB62" s="375"/>
      <c r="EC62" s="375"/>
      <c r="ED62" s="375"/>
      <c r="EE62" s="375"/>
      <c r="EF62" s="375"/>
      <c r="EG62" s="375"/>
      <c r="EH62" s="375"/>
      <c r="EI62" s="375"/>
      <c r="EJ62" s="375"/>
      <c r="EK62" s="375"/>
      <c r="EL62" s="375"/>
      <c r="EM62" s="375"/>
      <c r="EN62" s="375"/>
      <c r="EO62" s="375"/>
      <c r="EP62" s="375"/>
      <c r="EQ62" s="375"/>
      <c r="ER62" s="375"/>
      <c r="ES62" s="375"/>
      <c r="ET62" s="375"/>
      <c r="EU62" s="375"/>
      <c r="EV62" s="375"/>
      <c r="EW62" s="375"/>
      <c r="EX62" s="375"/>
      <c r="EY62" s="375"/>
      <c r="EZ62" s="375"/>
      <c r="FA62" s="375"/>
      <c r="FB62" s="375"/>
      <c r="FC62" s="375"/>
      <c r="FD62" s="375"/>
      <c r="FE62" s="375"/>
      <c r="FF62" s="375"/>
      <c r="FG62" s="375"/>
      <c r="FH62" s="375"/>
      <c r="FI62" s="375"/>
      <c r="FJ62" s="375"/>
      <c r="FK62" s="375"/>
      <c r="FL62" s="375"/>
      <c r="FM62" s="375"/>
      <c r="FN62" s="375"/>
      <c r="FO62" s="375"/>
      <c r="FP62" s="375"/>
      <c r="FQ62" s="375"/>
      <c r="FR62" s="375"/>
      <c r="FS62" s="375"/>
      <c r="FT62" s="375"/>
      <c r="FU62" s="375"/>
      <c r="FV62" s="375"/>
      <c r="FW62" s="375"/>
      <c r="FX62" s="375"/>
      <c r="FY62" s="375"/>
      <c r="FZ62" s="375"/>
      <c r="GA62" s="375"/>
      <c r="GB62" s="375"/>
      <c r="GC62" s="375"/>
      <c r="GD62" s="375"/>
      <c r="GE62" s="375"/>
      <c r="GF62" s="375"/>
      <c r="GG62" s="375"/>
      <c r="GH62" s="375"/>
      <c r="GI62" s="375"/>
      <c r="GJ62" s="375"/>
      <c r="GK62" s="375"/>
      <c r="GL62" s="375"/>
      <c r="GM62" s="375"/>
      <c r="GN62" s="375"/>
      <c r="GO62" s="375"/>
      <c r="GP62" s="375"/>
      <c r="GQ62" s="375"/>
      <c r="GR62" s="375"/>
      <c r="GS62" s="375"/>
      <c r="GT62" s="375"/>
      <c r="GU62" s="375"/>
      <c r="GV62" s="375"/>
      <c r="GW62" s="375"/>
      <c r="GX62" s="375"/>
      <c r="GY62" s="375"/>
      <c r="GZ62" s="375"/>
      <c r="HA62" s="375"/>
      <c r="HB62" s="375"/>
      <c r="HC62" s="375"/>
      <c r="HD62" s="375"/>
      <c r="HE62" s="375"/>
      <c r="HF62" s="375"/>
      <c r="HG62" s="375"/>
      <c r="HH62" s="375"/>
      <c r="HI62" s="375"/>
      <c r="HJ62" s="375"/>
      <c r="HK62" s="375"/>
      <c r="HL62" s="375"/>
      <c r="HM62" s="375"/>
      <c r="HN62" s="375"/>
      <c r="HO62" s="375"/>
      <c r="HP62" s="375"/>
      <c r="HQ62" s="375"/>
      <c r="HR62" s="375"/>
      <c r="HS62" s="375"/>
      <c r="HT62" s="375"/>
      <c r="HU62" s="375"/>
      <c r="HV62" s="375"/>
      <c r="HW62" s="375"/>
      <c r="HX62" s="375"/>
      <c r="HY62" s="375"/>
      <c r="HZ62" s="375"/>
      <c r="IA62" s="375"/>
      <c r="IB62" s="375"/>
      <c r="IC62" s="375"/>
      <c r="ID62" s="375"/>
      <c r="IE62" s="375"/>
      <c r="IF62" s="375"/>
      <c r="IG62" s="375"/>
      <c r="IH62" s="375"/>
      <c r="II62" s="375"/>
      <c r="IJ62" s="375"/>
      <c r="IK62" s="375"/>
      <c r="IL62" s="375"/>
      <c r="IM62" s="375"/>
      <c r="IN62" s="375"/>
      <c r="IO62" s="375"/>
      <c r="IP62" s="375"/>
      <c r="IQ62" s="375"/>
      <c r="IR62" s="375"/>
      <c r="IS62" s="375"/>
      <c r="IT62" s="375"/>
      <c r="IU62" s="375"/>
      <c r="IV62" s="375"/>
      <c r="IW62" s="375"/>
      <c r="IX62" s="375"/>
      <c r="IY62" s="375"/>
      <c r="IZ62" s="375"/>
      <c r="JA62" s="375"/>
      <c r="JB62" s="375"/>
      <c r="JC62" s="375"/>
      <c r="JD62" s="375"/>
      <c r="JE62" s="375"/>
      <c r="JF62" s="375"/>
      <c r="JG62" s="375"/>
      <c r="JH62" s="375"/>
      <c r="JI62" s="375"/>
      <c r="JJ62" s="375"/>
      <c r="JK62" s="375"/>
      <c r="JL62" s="375"/>
      <c r="JM62" s="375"/>
      <c r="JN62" s="375"/>
      <c r="JO62" s="375"/>
      <c r="JP62" s="375"/>
      <c r="JQ62" s="375"/>
      <c r="JR62" s="375"/>
      <c r="JS62" s="375"/>
      <c r="JT62" s="375"/>
      <c r="JU62" s="375"/>
      <c r="JV62" s="375"/>
      <c r="JW62" s="375"/>
      <c r="JX62" s="375"/>
      <c r="JY62" s="375"/>
      <c r="JZ62" s="375"/>
      <c r="KA62" s="375"/>
      <c r="KB62" s="375"/>
      <c r="KC62" s="375"/>
      <c r="KD62" s="375"/>
      <c r="KE62" s="375"/>
      <c r="KF62" s="375"/>
      <c r="KG62" s="375"/>
      <c r="KH62" s="375"/>
      <c r="KI62" s="375"/>
      <c r="KJ62" s="375"/>
      <c r="KK62" s="375"/>
      <c r="KL62" s="375"/>
      <c r="KM62" s="375"/>
      <c r="KN62" s="375"/>
      <c r="KO62" s="375"/>
      <c r="KP62" s="375"/>
      <c r="KQ62" s="375"/>
      <c r="KR62" s="375"/>
      <c r="KS62" s="375"/>
      <c r="KT62" s="375"/>
      <c r="KU62" s="375"/>
      <c r="KV62" s="375"/>
      <c r="KW62" s="375"/>
      <c r="KX62" s="375"/>
      <c r="KY62" s="375"/>
      <c r="KZ62" s="375"/>
      <c r="LA62" s="375"/>
      <c r="LB62" s="375"/>
      <c r="LC62" s="375"/>
      <c r="LD62" s="375"/>
      <c r="LE62" s="375"/>
      <c r="LF62" s="375"/>
      <c r="LG62" s="375"/>
      <c r="LH62" s="375"/>
      <c r="LI62" s="375"/>
      <c r="LJ62" s="375"/>
      <c r="LK62" s="375"/>
      <c r="LL62" s="375"/>
      <c r="LM62" s="375"/>
      <c r="LN62" s="375"/>
      <c r="LO62" s="375"/>
      <c r="LP62" s="375"/>
      <c r="LQ62" s="375"/>
    </row>
    <row r="63" spans="1:329" s="254" customFormat="1">
      <c r="A63" s="535"/>
      <c r="B63" s="260"/>
      <c r="C63" s="274"/>
      <c r="D63" s="500">
        <v>9</v>
      </c>
      <c r="E63" s="304" t="s">
        <v>374</v>
      </c>
      <c r="F63" s="466">
        <v>1</v>
      </c>
      <c r="G63" s="258" t="s">
        <v>361</v>
      </c>
      <c r="H63" s="254" t="s">
        <v>366</v>
      </c>
      <c r="I63" s="254" t="s">
        <v>323</v>
      </c>
      <c r="L63" s="255"/>
      <c r="M63" s="255"/>
      <c r="N63" s="375"/>
      <c r="O63" s="375"/>
      <c r="P63" s="375"/>
      <c r="Q63" s="375"/>
      <c r="R63" s="375"/>
      <c r="S63" s="375"/>
      <c r="T63" s="375"/>
      <c r="U63" s="375"/>
      <c r="V63" s="375"/>
      <c r="W63" s="375"/>
      <c r="X63" s="375"/>
      <c r="Y63" s="375"/>
      <c r="Z63" s="375"/>
      <c r="AA63" s="375"/>
      <c r="AB63" s="375"/>
      <c r="AC63" s="375"/>
      <c r="AD63" s="375"/>
      <c r="AE63" s="375"/>
      <c r="AF63" s="375"/>
      <c r="AG63" s="375"/>
      <c r="AH63" s="375"/>
      <c r="AI63" s="375"/>
      <c r="AJ63" s="375"/>
      <c r="AK63" s="375"/>
      <c r="AL63" s="375"/>
      <c r="AM63" s="375"/>
      <c r="AN63" s="375"/>
      <c r="AO63" s="375"/>
      <c r="AP63" s="375"/>
      <c r="AQ63" s="375"/>
      <c r="AR63" s="375"/>
      <c r="AS63" s="375"/>
      <c r="AT63" s="375"/>
      <c r="AU63" s="375"/>
      <c r="AV63" s="375"/>
      <c r="AW63" s="375"/>
      <c r="AX63" s="375"/>
      <c r="AY63" s="375"/>
      <c r="AZ63" s="375"/>
      <c r="BA63" s="375"/>
      <c r="BB63" s="375"/>
      <c r="BC63" s="375"/>
      <c r="BD63" s="375"/>
      <c r="BE63" s="375"/>
      <c r="BF63" s="375"/>
      <c r="BG63" s="375"/>
      <c r="BH63" s="375"/>
      <c r="BI63" s="375"/>
      <c r="BJ63" s="375"/>
      <c r="BK63" s="375"/>
      <c r="BL63" s="375"/>
      <c r="BM63" s="375"/>
      <c r="BN63" s="375"/>
      <c r="BO63" s="375"/>
      <c r="BP63" s="375"/>
      <c r="BQ63" s="375"/>
      <c r="BR63" s="375"/>
      <c r="BS63" s="375"/>
      <c r="BT63" s="375"/>
      <c r="BU63" s="375"/>
      <c r="BV63" s="375"/>
      <c r="BW63" s="375"/>
      <c r="BX63" s="375"/>
      <c r="BY63" s="375"/>
      <c r="BZ63" s="375"/>
      <c r="CA63" s="375"/>
      <c r="CB63" s="375"/>
      <c r="CC63" s="375"/>
      <c r="CD63" s="375"/>
      <c r="CE63" s="375"/>
      <c r="CF63" s="375"/>
      <c r="CG63" s="375"/>
      <c r="CH63" s="375"/>
      <c r="CI63" s="375"/>
      <c r="CJ63" s="375"/>
      <c r="CK63" s="375"/>
      <c r="CL63" s="375"/>
      <c r="CM63" s="375"/>
      <c r="CN63" s="375"/>
      <c r="CO63" s="375"/>
      <c r="CP63" s="375"/>
      <c r="CQ63" s="375"/>
      <c r="CR63" s="375"/>
      <c r="CS63" s="375"/>
      <c r="CT63" s="375"/>
      <c r="CU63" s="375"/>
      <c r="CV63" s="375"/>
      <c r="CW63" s="375"/>
      <c r="CX63" s="375"/>
      <c r="CY63" s="375"/>
      <c r="CZ63" s="375"/>
      <c r="DA63" s="375"/>
      <c r="DB63" s="375"/>
      <c r="DC63" s="375"/>
      <c r="DD63" s="375"/>
      <c r="DE63" s="375"/>
      <c r="DF63" s="375"/>
      <c r="DG63" s="375"/>
      <c r="DH63" s="375"/>
      <c r="DI63" s="375"/>
      <c r="DJ63" s="375"/>
      <c r="DK63" s="375"/>
      <c r="DL63" s="375"/>
      <c r="DM63" s="375"/>
      <c r="DN63" s="375"/>
      <c r="DO63" s="375"/>
      <c r="DP63" s="375"/>
      <c r="DQ63" s="375"/>
      <c r="DR63" s="375"/>
      <c r="DS63" s="375"/>
      <c r="DT63" s="375"/>
      <c r="DU63" s="375"/>
      <c r="DV63" s="375"/>
      <c r="DW63" s="375"/>
      <c r="DX63" s="375"/>
      <c r="DY63" s="375"/>
      <c r="DZ63" s="375"/>
      <c r="EA63" s="375"/>
      <c r="EB63" s="375"/>
      <c r="EC63" s="375"/>
      <c r="ED63" s="375"/>
      <c r="EE63" s="375"/>
      <c r="EF63" s="375"/>
      <c r="EG63" s="375"/>
      <c r="EH63" s="375"/>
      <c r="EI63" s="375"/>
      <c r="EJ63" s="375"/>
      <c r="EK63" s="375"/>
      <c r="EL63" s="375"/>
      <c r="EM63" s="375"/>
      <c r="EN63" s="375"/>
      <c r="EO63" s="375"/>
      <c r="EP63" s="375"/>
      <c r="EQ63" s="375"/>
      <c r="ER63" s="375"/>
      <c r="ES63" s="375"/>
      <c r="ET63" s="375"/>
      <c r="EU63" s="375"/>
      <c r="EV63" s="375"/>
      <c r="EW63" s="375"/>
      <c r="EX63" s="375"/>
      <c r="EY63" s="375"/>
      <c r="EZ63" s="375"/>
      <c r="FA63" s="375"/>
      <c r="FB63" s="375"/>
      <c r="FC63" s="375"/>
      <c r="FD63" s="375"/>
      <c r="FE63" s="375"/>
      <c r="FF63" s="375"/>
      <c r="FG63" s="375"/>
      <c r="FH63" s="375"/>
      <c r="FI63" s="375"/>
      <c r="FJ63" s="375"/>
      <c r="FK63" s="375"/>
      <c r="FL63" s="375"/>
      <c r="FM63" s="375"/>
      <c r="FN63" s="375"/>
      <c r="FO63" s="375"/>
      <c r="FP63" s="375"/>
      <c r="FQ63" s="375"/>
      <c r="FR63" s="375"/>
      <c r="FS63" s="375"/>
      <c r="FT63" s="375"/>
      <c r="FU63" s="375"/>
      <c r="FV63" s="375"/>
      <c r="FW63" s="375"/>
      <c r="FX63" s="375"/>
      <c r="FY63" s="375"/>
      <c r="FZ63" s="375"/>
      <c r="GA63" s="375"/>
      <c r="GB63" s="375"/>
      <c r="GC63" s="375"/>
      <c r="GD63" s="375"/>
      <c r="GE63" s="375"/>
      <c r="GF63" s="375"/>
      <c r="GG63" s="375"/>
      <c r="GH63" s="375"/>
      <c r="GI63" s="375"/>
      <c r="GJ63" s="375"/>
      <c r="GK63" s="375"/>
      <c r="GL63" s="375"/>
      <c r="GM63" s="375"/>
      <c r="GN63" s="375"/>
      <c r="GO63" s="375"/>
      <c r="GP63" s="375"/>
      <c r="GQ63" s="375"/>
      <c r="GR63" s="375"/>
      <c r="GS63" s="375"/>
      <c r="GT63" s="375"/>
      <c r="GU63" s="375"/>
      <c r="GV63" s="375"/>
      <c r="GW63" s="375"/>
      <c r="GX63" s="375"/>
      <c r="GY63" s="375"/>
      <c r="GZ63" s="375"/>
      <c r="HA63" s="375"/>
      <c r="HB63" s="375"/>
      <c r="HC63" s="375"/>
      <c r="HD63" s="375"/>
      <c r="HE63" s="375"/>
      <c r="HF63" s="375"/>
      <c r="HG63" s="375"/>
      <c r="HH63" s="375"/>
      <c r="HI63" s="375"/>
      <c r="HJ63" s="375"/>
      <c r="HK63" s="375"/>
      <c r="HL63" s="375"/>
      <c r="HM63" s="375"/>
      <c r="HN63" s="375"/>
      <c r="HO63" s="375"/>
      <c r="HP63" s="375"/>
      <c r="HQ63" s="375"/>
      <c r="HR63" s="375"/>
      <c r="HS63" s="375"/>
      <c r="HT63" s="375"/>
      <c r="HU63" s="375"/>
      <c r="HV63" s="375"/>
      <c r="HW63" s="375"/>
      <c r="HX63" s="375"/>
      <c r="HY63" s="375"/>
      <c r="HZ63" s="375"/>
      <c r="IA63" s="375"/>
      <c r="IB63" s="375"/>
      <c r="IC63" s="375"/>
      <c r="ID63" s="375"/>
      <c r="IE63" s="375"/>
      <c r="IF63" s="375"/>
      <c r="IG63" s="375"/>
      <c r="IH63" s="375"/>
      <c r="II63" s="375"/>
      <c r="IJ63" s="375"/>
      <c r="IK63" s="375"/>
      <c r="IL63" s="375"/>
      <c r="IM63" s="375"/>
      <c r="IN63" s="375"/>
      <c r="IO63" s="375"/>
      <c r="IP63" s="375"/>
      <c r="IQ63" s="375"/>
      <c r="IR63" s="375"/>
      <c r="IS63" s="375"/>
      <c r="IT63" s="375"/>
      <c r="IU63" s="375"/>
      <c r="IV63" s="375"/>
      <c r="IW63" s="375"/>
      <c r="IX63" s="375"/>
      <c r="IY63" s="375"/>
      <c r="IZ63" s="375"/>
      <c r="JA63" s="375"/>
      <c r="JB63" s="375"/>
      <c r="JC63" s="375"/>
      <c r="JD63" s="375"/>
      <c r="JE63" s="375"/>
      <c r="JF63" s="375"/>
      <c r="JG63" s="375"/>
      <c r="JH63" s="375"/>
      <c r="JI63" s="375"/>
      <c r="JJ63" s="375"/>
      <c r="JK63" s="375"/>
      <c r="JL63" s="375"/>
      <c r="JM63" s="375"/>
      <c r="JN63" s="375"/>
      <c r="JO63" s="375"/>
      <c r="JP63" s="375"/>
      <c r="JQ63" s="375"/>
      <c r="JR63" s="375"/>
      <c r="JS63" s="375"/>
      <c r="JT63" s="375"/>
      <c r="JU63" s="375"/>
      <c r="JV63" s="375"/>
      <c r="JW63" s="375"/>
      <c r="JX63" s="375"/>
      <c r="JY63" s="375"/>
      <c r="JZ63" s="375"/>
      <c r="KA63" s="375"/>
      <c r="KB63" s="375"/>
      <c r="KC63" s="375"/>
      <c r="KD63" s="375"/>
      <c r="KE63" s="375"/>
      <c r="KF63" s="375"/>
      <c r="KG63" s="375"/>
      <c r="KH63" s="375"/>
      <c r="KI63" s="375"/>
      <c r="KJ63" s="375"/>
      <c r="KK63" s="375"/>
      <c r="KL63" s="375"/>
      <c r="KM63" s="375"/>
      <c r="KN63" s="375"/>
      <c r="KO63" s="375"/>
      <c r="KP63" s="375"/>
      <c r="KQ63" s="375"/>
      <c r="KR63" s="375"/>
      <c r="KS63" s="375"/>
      <c r="KT63" s="375"/>
      <c r="KU63" s="375"/>
      <c r="KV63" s="375"/>
      <c r="KW63" s="375"/>
      <c r="KX63" s="375"/>
      <c r="KY63" s="375"/>
      <c r="KZ63" s="375"/>
      <c r="LA63" s="375"/>
      <c r="LB63" s="375"/>
      <c r="LC63" s="375"/>
      <c r="LD63" s="375"/>
      <c r="LE63" s="375"/>
      <c r="LF63" s="375"/>
      <c r="LG63" s="375"/>
      <c r="LH63" s="375"/>
      <c r="LI63" s="375"/>
      <c r="LJ63" s="375"/>
      <c r="LK63" s="375"/>
      <c r="LL63" s="375"/>
      <c r="LM63" s="375"/>
      <c r="LN63" s="375"/>
      <c r="LO63" s="375"/>
      <c r="LP63" s="375"/>
      <c r="LQ63" s="375"/>
    </row>
    <row r="64" spans="1:329" s="254" customFormat="1">
      <c r="A64" s="535"/>
      <c r="B64" s="260"/>
      <c r="C64" s="306"/>
      <c r="D64" s="500">
        <v>10</v>
      </c>
      <c r="E64" s="304" t="s">
        <v>375</v>
      </c>
      <c r="F64" s="466">
        <v>1</v>
      </c>
      <c r="G64" s="258" t="s">
        <v>361</v>
      </c>
      <c r="H64" s="254" t="s">
        <v>366</v>
      </c>
      <c r="I64" s="254" t="s">
        <v>323</v>
      </c>
      <c r="L64" s="255"/>
      <c r="M64" s="255"/>
      <c r="N64" s="375"/>
      <c r="O64" s="375"/>
      <c r="P64" s="375"/>
      <c r="Q64" s="375"/>
      <c r="R64" s="375"/>
      <c r="S64" s="375"/>
      <c r="T64" s="375"/>
      <c r="U64" s="375"/>
      <c r="V64" s="375"/>
      <c r="W64" s="375"/>
      <c r="X64" s="375"/>
      <c r="Y64" s="375"/>
      <c r="Z64" s="375"/>
      <c r="AA64" s="375"/>
      <c r="AB64" s="375"/>
      <c r="AC64" s="375"/>
      <c r="AD64" s="375"/>
      <c r="AE64" s="375"/>
      <c r="AF64" s="375"/>
      <c r="AG64" s="375"/>
      <c r="AH64" s="375"/>
      <c r="AI64" s="375"/>
      <c r="AJ64" s="375"/>
      <c r="AK64" s="375"/>
      <c r="AL64" s="375"/>
      <c r="AM64" s="375"/>
      <c r="AN64" s="375"/>
      <c r="AO64" s="375"/>
      <c r="AP64" s="375"/>
      <c r="AQ64" s="375"/>
      <c r="AR64" s="375"/>
      <c r="AS64" s="375"/>
      <c r="AT64" s="375"/>
      <c r="AU64" s="375"/>
      <c r="AV64" s="375"/>
      <c r="AW64" s="375"/>
      <c r="AX64" s="375"/>
      <c r="AY64" s="375"/>
      <c r="AZ64" s="375"/>
      <c r="BA64" s="375"/>
      <c r="BB64" s="375"/>
      <c r="BC64" s="375"/>
      <c r="BD64" s="375"/>
      <c r="BE64" s="375"/>
      <c r="BF64" s="375"/>
      <c r="BG64" s="375"/>
      <c r="BH64" s="375"/>
      <c r="BI64" s="375"/>
      <c r="BJ64" s="375"/>
      <c r="BK64" s="375"/>
      <c r="BL64" s="375"/>
      <c r="BM64" s="375"/>
      <c r="BN64" s="375"/>
      <c r="BO64" s="375"/>
      <c r="BP64" s="375"/>
      <c r="BQ64" s="375"/>
      <c r="BR64" s="375"/>
      <c r="BS64" s="375"/>
      <c r="BT64" s="375"/>
      <c r="BU64" s="375"/>
      <c r="BV64" s="375"/>
      <c r="BW64" s="375"/>
      <c r="BX64" s="375"/>
      <c r="BY64" s="375"/>
      <c r="BZ64" s="375"/>
      <c r="CA64" s="375"/>
      <c r="CB64" s="375"/>
      <c r="CC64" s="375"/>
      <c r="CD64" s="375"/>
      <c r="CE64" s="375"/>
      <c r="CF64" s="375"/>
      <c r="CG64" s="375"/>
      <c r="CH64" s="375"/>
      <c r="CI64" s="375"/>
      <c r="CJ64" s="375"/>
      <c r="CK64" s="375"/>
      <c r="CL64" s="375"/>
      <c r="CM64" s="375"/>
      <c r="CN64" s="375"/>
      <c r="CO64" s="375"/>
      <c r="CP64" s="375"/>
      <c r="CQ64" s="375"/>
      <c r="CR64" s="375"/>
      <c r="CS64" s="375"/>
      <c r="CT64" s="375"/>
      <c r="CU64" s="375"/>
      <c r="CV64" s="375"/>
      <c r="CW64" s="375"/>
      <c r="CX64" s="375"/>
      <c r="CY64" s="375"/>
      <c r="CZ64" s="375"/>
      <c r="DA64" s="375"/>
      <c r="DB64" s="375"/>
      <c r="DC64" s="375"/>
      <c r="DD64" s="375"/>
      <c r="DE64" s="375"/>
      <c r="DF64" s="375"/>
      <c r="DG64" s="375"/>
      <c r="DH64" s="375"/>
      <c r="DI64" s="375"/>
      <c r="DJ64" s="375"/>
      <c r="DK64" s="375"/>
      <c r="DL64" s="375"/>
      <c r="DM64" s="375"/>
      <c r="DN64" s="375"/>
      <c r="DO64" s="375"/>
      <c r="DP64" s="375"/>
      <c r="DQ64" s="375"/>
      <c r="DR64" s="375"/>
      <c r="DS64" s="375"/>
      <c r="DT64" s="375"/>
      <c r="DU64" s="375"/>
      <c r="DV64" s="375"/>
      <c r="DW64" s="375"/>
      <c r="DX64" s="375"/>
      <c r="DY64" s="375"/>
      <c r="DZ64" s="375"/>
      <c r="EA64" s="375"/>
      <c r="EB64" s="375"/>
      <c r="EC64" s="375"/>
      <c r="ED64" s="375"/>
      <c r="EE64" s="375"/>
      <c r="EF64" s="375"/>
      <c r="EG64" s="375"/>
      <c r="EH64" s="375"/>
      <c r="EI64" s="375"/>
      <c r="EJ64" s="375"/>
      <c r="EK64" s="375"/>
      <c r="EL64" s="375"/>
      <c r="EM64" s="375"/>
      <c r="EN64" s="375"/>
      <c r="EO64" s="375"/>
      <c r="EP64" s="375"/>
      <c r="EQ64" s="375"/>
      <c r="ER64" s="375"/>
      <c r="ES64" s="375"/>
      <c r="ET64" s="375"/>
      <c r="EU64" s="375"/>
      <c r="EV64" s="375"/>
      <c r="EW64" s="375"/>
      <c r="EX64" s="375"/>
      <c r="EY64" s="375"/>
      <c r="EZ64" s="375"/>
      <c r="FA64" s="375"/>
      <c r="FB64" s="375"/>
      <c r="FC64" s="375"/>
      <c r="FD64" s="375"/>
      <c r="FE64" s="375"/>
      <c r="FF64" s="375"/>
      <c r="FG64" s="375"/>
      <c r="FH64" s="375"/>
      <c r="FI64" s="375"/>
      <c r="FJ64" s="375"/>
      <c r="FK64" s="375"/>
      <c r="FL64" s="375"/>
      <c r="FM64" s="375"/>
      <c r="FN64" s="375"/>
      <c r="FO64" s="375"/>
      <c r="FP64" s="375"/>
      <c r="FQ64" s="375"/>
      <c r="FR64" s="375"/>
      <c r="FS64" s="375"/>
      <c r="FT64" s="375"/>
      <c r="FU64" s="375"/>
      <c r="FV64" s="375"/>
      <c r="FW64" s="375"/>
      <c r="FX64" s="375"/>
      <c r="FY64" s="375"/>
      <c r="FZ64" s="375"/>
      <c r="GA64" s="375"/>
      <c r="GB64" s="375"/>
      <c r="GC64" s="375"/>
      <c r="GD64" s="375"/>
      <c r="GE64" s="375"/>
      <c r="GF64" s="375"/>
      <c r="GG64" s="375"/>
      <c r="GH64" s="375"/>
      <c r="GI64" s="375"/>
      <c r="GJ64" s="375"/>
      <c r="GK64" s="375"/>
      <c r="GL64" s="375"/>
      <c r="GM64" s="375"/>
      <c r="GN64" s="375"/>
      <c r="GO64" s="375"/>
      <c r="GP64" s="375"/>
      <c r="GQ64" s="375"/>
      <c r="GR64" s="375"/>
      <c r="GS64" s="375"/>
      <c r="GT64" s="375"/>
      <c r="GU64" s="375"/>
      <c r="GV64" s="375"/>
      <c r="GW64" s="375"/>
      <c r="GX64" s="375"/>
      <c r="GY64" s="375"/>
      <c r="GZ64" s="375"/>
      <c r="HA64" s="375"/>
      <c r="HB64" s="375"/>
      <c r="HC64" s="375"/>
      <c r="HD64" s="375"/>
      <c r="HE64" s="375"/>
      <c r="HF64" s="375"/>
      <c r="HG64" s="375"/>
      <c r="HH64" s="375"/>
      <c r="HI64" s="375"/>
      <c r="HJ64" s="375"/>
      <c r="HK64" s="375"/>
      <c r="HL64" s="375"/>
      <c r="HM64" s="375"/>
      <c r="HN64" s="375"/>
      <c r="HO64" s="375"/>
      <c r="HP64" s="375"/>
      <c r="HQ64" s="375"/>
      <c r="HR64" s="375"/>
      <c r="HS64" s="375"/>
      <c r="HT64" s="375"/>
      <c r="HU64" s="375"/>
      <c r="HV64" s="375"/>
      <c r="HW64" s="375"/>
      <c r="HX64" s="375"/>
      <c r="HY64" s="375"/>
      <c r="HZ64" s="375"/>
      <c r="IA64" s="375"/>
      <c r="IB64" s="375"/>
      <c r="IC64" s="375"/>
      <c r="ID64" s="375"/>
      <c r="IE64" s="375"/>
      <c r="IF64" s="375"/>
      <c r="IG64" s="375"/>
      <c r="IH64" s="375"/>
      <c r="II64" s="375"/>
      <c r="IJ64" s="375"/>
      <c r="IK64" s="375"/>
      <c r="IL64" s="375"/>
      <c r="IM64" s="375"/>
      <c r="IN64" s="375"/>
      <c r="IO64" s="375"/>
      <c r="IP64" s="375"/>
      <c r="IQ64" s="375"/>
      <c r="IR64" s="375"/>
      <c r="IS64" s="375"/>
      <c r="IT64" s="375"/>
      <c r="IU64" s="375"/>
      <c r="IV64" s="375"/>
      <c r="IW64" s="375"/>
      <c r="IX64" s="375"/>
      <c r="IY64" s="375"/>
      <c r="IZ64" s="375"/>
      <c r="JA64" s="375"/>
      <c r="JB64" s="375"/>
      <c r="JC64" s="375"/>
      <c r="JD64" s="375"/>
      <c r="JE64" s="375"/>
      <c r="JF64" s="375"/>
      <c r="JG64" s="375"/>
      <c r="JH64" s="375"/>
      <c r="JI64" s="375"/>
      <c r="JJ64" s="375"/>
      <c r="JK64" s="375"/>
      <c r="JL64" s="375"/>
      <c r="JM64" s="375"/>
      <c r="JN64" s="375"/>
      <c r="JO64" s="375"/>
      <c r="JP64" s="375"/>
      <c r="JQ64" s="375"/>
      <c r="JR64" s="375"/>
      <c r="JS64" s="375"/>
      <c r="JT64" s="375"/>
      <c r="JU64" s="375"/>
      <c r="JV64" s="375"/>
      <c r="JW64" s="375"/>
      <c r="JX64" s="375"/>
      <c r="JY64" s="375"/>
      <c r="JZ64" s="375"/>
      <c r="KA64" s="375"/>
      <c r="KB64" s="375"/>
      <c r="KC64" s="375"/>
      <c r="KD64" s="375"/>
      <c r="KE64" s="375"/>
      <c r="KF64" s="375"/>
      <c r="KG64" s="375"/>
      <c r="KH64" s="375"/>
      <c r="KI64" s="375"/>
      <c r="KJ64" s="375"/>
      <c r="KK64" s="375"/>
      <c r="KL64" s="375"/>
      <c r="KM64" s="375"/>
      <c r="KN64" s="375"/>
      <c r="KO64" s="375"/>
      <c r="KP64" s="375"/>
      <c r="KQ64" s="375"/>
      <c r="KR64" s="375"/>
      <c r="KS64" s="375"/>
      <c r="KT64" s="375"/>
      <c r="KU64" s="375"/>
      <c r="KV64" s="375"/>
      <c r="KW64" s="375"/>
      <c r="KX64" s="375"/>
      <c r="KY64" s="375"/>
      <c r="KZ64" s="375"/>
      <c r="LA64" s="375"/>
      <c r="LB64" s="375"/>
      <c r="LC64" s="375"/>
      <c r="LD64" s="375"/>
      <c r="LE64" s="375"/>
      <c r="LF64" s="375"/>
      <c r="LG64" s="375"/>
      <c r="LH64" s="375"/>
      <c r="LI64" s="375"/>
      <c r="LJ64" s="375"/>
      <c r="LK64" s="375"/>
      <c r="LL64" s="375"/>
      <c r="LM64" s="375"/>
      <c r="LN64" s="375"/>
      <c r="LO64" s="375"/>
      <c r="LP64" s="375"/>
      <c r="LQ64" s="375"/>
    </row>
    <row r="65" spans="1:329" s="254" customFormat="1">
      <c r="A65" s="535"/>
      <c r="B65" s="260"/>
      <c r="C65" s="274"/>
      <c r="D65" s="500">
        <v>11</v>
      </c>
      <c r="E65" s="304" t="s">
        <v>376</v>
      </c>
      <c r="F65" s="466">
        <v>1</v>
      </c>
      <c r="G65" s="258" t="s">
        <v>361</v>
      </c>
      <c r="H65" s="254" t="s">
        <v>366</v>
      </c>
      <c r="I65" s="254" t="s">
        <v>323</v>
      </c>
      <c r="L65" s="255"/>
      <c r="M65" s="255"/>
      <c r="N65" s="375"/>
      <c r="O65" s="375"/>
      <c r="P65" s="375"/>
      <c r="Q65" s="375"/>
      <c r="R65" s="375"/>
      <c r="S65" s="375"/>
      <c r="T65" s="375"/>
      <c r="U65" s="375"/>
      <c r="V65" s="375"/>
      <c r="W65" s="375"/>
      <c r="X65" s="375"/>
      <c r="Y65" s="375"/>
      <c r="Z65" s="375"/>
      <c r="AA65" s="375"/>
      <c r="AB65" s="375"/>
      <c r="AC65" s="375"/>
      <c r="AD65" s="375"/>
      <c r="AE65" s="375"/>
      <c r="AF65" s="375"/>
      <c r="AG65" s="375"/>
      <c r="AH65" s="375"/>
      <c r="AI65" s="375"/>
      <c r="AJ65" s="375"/>
      <c r="AK65" s="375"/>
      <c r="AL65" s="375"/>
      <c r="AM65" s="375"/>
      <c r="AN65" s="375"/>
      <c r="AO65" s="375"/>
      <c r="AP65" s="375"/>
      <c r="AQ65" s="375"/>
      <c r="AR65" s="375"/>
      <c r="AS65" s="375"/>
      <c r="AT65" s="375"/>
      <c r="AU65" s="375"/>
      <c r="AV65" s="375"/>
      <c r="AW65" s="375"/>
      <c r="AX65" s="375"/>
      <c r="AY65" s="375"/>
      <c r="AZ65" s="375"/>
      <c r="BA65" s="375"/>
      <c r="BB65" s="375"/>
      <c r="BC65" s="375"/>
      <c r="BD65" s="375"/>
      <c r="BE65" s="375"/>
      <c r="BF65" s="375"/>
      <c r="BG65" s="375"/>
      <c r="BH65" s="375"/>
      <c r="BI65" s="375"/>
      <c r="BJ65" s="375"/>
      <c r="BK65" s="375"/>
      <c r="BL65" s="375"/>
      <c r="BM65" s="375"/>
      <c r="BN65" s="375"/>
      <c r="BO65" s="375"/>
      <c r="BP65" s="375"/>
      <c r="BQ65" s="375"/>
      <c r="BR65" s="375"/>
      <c r="BS65" s="375"/>
      <c r="BT65" s="375"/>
      <c r="BU65" s="375"/>
      <c r="BV65" s="375"/>
      <c r="BW65" s="375"/>
      <c r="BX65" s="375"/>
      <c r="BY65" s="375"/>
      <c r="BZ65" s="375"/>
      <c r="CA65" s="375"/>
      <c r="CB65" s="375"/>
      <c r="CC65" s="375"/>
      <c r="CD65" s="375"/>
      <c r="CE65" s="375"/>
      <c r="CF65" s="375"/>
      <c r="CG65" s="375"/>
      <c r="CH65" s="375"/>
      <c r="CI65" s="375"/>
      <c r="CJ65" s="375"/>
      <c r="CK65" s="375"/>
      <c r="CL65" s="375"/>
      <c r="CM65" s="375"/>
      <c r="CN65" s="375"/>
      <c r="CO65" s="375"/>
      <c r="CP65" s="375"/>
      <c r="CQ65" s="375"/>
      <c r="CR65" s="375"/>
      <c r="CS65" s="375"/>
      <c r="CT65" s="375"/>
      <c r="CU65" s="375"/>
      <c r="CV65" s="375"/>
      <c r="CW65" s="375"/>
      <c r="CX65" s="375"/>
      <c r="CY65" s="375"/>
      <c r="CZ65" s="375"/>
      <c r="DA65" s="375"/>
      <c r="DB65" s="375"/>
      <c r="DC65" s="375"/>
      <c r="DD65" s="375"/>
      <c r="DE65" s="375"/>
      <c r="DF65" s="375"/>
      <c r="DG65" s="375"/>
      <c r="DH65" s="375"/>
      <c r="DI65" s="375"/>
      <c r="DJ65" s="375"/>
      <c r="DK65" s="375"/>
      <c r="DL65" s="375"/>
      <c r="DM65" s="375"/>
      <c r="DN65" s="375"/>
      <c r="DO65" s="375"/>
      <c r="DP65" s="375"/>
      <c r="DQ65" s="375"/>
      <c r="DR65" s="375"/>
      <c r="DS65" s="375"/>
      <c r="DT65" s="375"/>
      <c r="DU65" s="375"/>
      <c r="DV65" s="375"/>
      <c r="DW65" s="375"/>
      <c r="DX65" s="375"/>
      <c r="DY65" s="375"/>
      <c r="DZ65" s="375"/>
      <c r="EA65" s="375"/>
      <c r="EB65" s="375"/>
      <c r="EC65" s="375"/>
      <c r="ED65" s="375"/>
      <c r="EE65" s="375"/>
      <c r="EF65" s="375"/>
      <c r="EG65" s="375"/>
      <c r="EH65" s="375"/>
      <c r="EI65" s="375"/>
      <c r="EJ65" s="375"/>
      <c r="EK65" s="375"/>
      <c r="EL65" s="375"/>
      <c r="EM65" s="375"/>
      <c r="EN65" s="375"/>
      <c r="EO65" s="375"/>
      <c r="EP65" s="375"/>
      <c r="EQ65" s="375"/>
      <c r="ER65" s="375"/>
      <c r="ES65" s="375"/>
      <c r="ET65" s="375"/>
      <c r="EU65" s="375"/>
      <c r="EV65" s="375"/>
      <c r="EW65" s="375"/>
      <c r="EX65" s="375"/>
      <c r="EY65" s="375"/>
      <c r="EZ65" s="375"/>
      <c r="FA65" s="375"/>
      <c r="FB65" s="375"/>
      <c r="FC65" s="375"/>
      <c r="FD65" s="375"/>
      <c r="FE65" s="375"/>
      <c r="FF65" s="375"/>
      <c r="FG65" s="375"/>
      <c r="FH65" s="375"/>
      <c r="FI65" s="375"/>
      <c r="FJ65" s="375"/>
      <c r="FK65" s="375"/>
      <c r="FL65" s="375"/>
      <c r="FM65" s="375"/>
      <c r="FN65" s="375"/>
      <c r="FO65" s="375"/>
      <c r="FP65" s="375"/>
      <c r="FQ65" s="375"/>
      <c r="FR65" s="375"/>
      <c r="FS65" s="375"/>
      <c r="FT65" s="375"/>
      <c r="FU65" s="375"/>
      <c r="FV65" s="375"/>
      <c r="FW65" s="375"/>
      <c r="FX65" s="375"/>
      <c r="FY65" s="375"/>
      <c r="FZ65" s="375"/>
      <c r="GA65" s="375"/>
      <c r="GB65" s="375"/>
      <c r="GC65" s="375"/>
      <c r="GD65" s="375"/>
      <c r="GE65" s="375"/>
      <c r="GF65" s="375"/>
      <c r="GG65" s="375"/>
      <c r="GH65" s="375"/>
      <c r="GI65" s="375"/>
      <c r="GJ65" s="375"/>
      <c r="GK65" s="375"/>
      <c r="GL65" s="375"/>
      <c r="GM65" s="375"/>
      <c r="GN65" s="375"/>
      <c r="GO65" s="375"/>
      <c r="GP65" s="375"/>
      <c r="GQ65" s="375"/>
      <c r="GR65" s="375"/>
      <c r="GS65" s="375"/>
      <c r="GT65" s="375"/>
      <c r="GU65" s="375"/>
      <c r="GV65" s="375"/>
      <c r="GW65" s="375"/>
      <c r="GX65" s="375"/>
      <c r="GY65" s="375"/>
      <c r="GZ65" s="375"/>
      <c r="HA65" s="375"/>
      <c r="HB65" s="375"/>
      <c r="HC65" s="375"/>
      <c r="HD65" s="375"/>
      <c r="HE65" s="375"/>
      <c r="HF65" s="375"/>
      <c r="HG65" s="375"/>
      <c r="HH65" s="375"/>
      <c r="HI65" s="375"/>
      <c r="HJ65" s="375"/>
      <c r="HK65" s="375"/>
      <c r="HL65" s="375"/>
      <c r="HM65" s="375"/>
      <c r="HN65" s="375"/>
      <c r="HO65" s="375"/>
      <c r="HP65" s="375"/>
      <c r="HQ65" s="375"/>
      <c r="HR65" s="375"/>
      <c r="HS65" s="375"/>
      <c r="HT65" s="375"/>
      <c r="HU65" s="375"/>
      <c r="HV65" s="375"/>
      <c r="HW65" s="375"/>
      <c r="HX65" s="375"/>
      <c r="HY65" s="375"/>
      <c r="HZ65" s="375"/>
      <c r="IA65" s="375"/>
      <c r="IB65" s="375"/>
      <c r="IC65" s="375"/>
      <c r="ID65" s="375"/>
      <c r="IE65" s="375"/>
      <c r="IF65" s="375"/>
      <c r="IG65" s="375"/>
      <c r="IH65" s="375"/>
      <c r="II65" s="375"/>
      <c r="IJ65" s="375"/>
      <c r="IK65" s="375"/>
      <c r="IL65" s="375"/>
      <c r="IM65" s="375"/>
      <c r="IN65" s="375"/>
      <c r="IO65" s="375"/>
      <c r="IP65" s="375"/>
      <c r="IQ65" s="375"/>
      <c r="IR65" s="375"/>
      <c r="IS65" s="375"/>
      <c r="IT65" s="375"/>
      <c r="IU65" s="375"/>
      <c r="IV65" s="375"/>
      <c r="IW65" s="375"/>
      <c r="IX65" s="375"/>
      <c r="IY65" s="375"/>
      <c r="IZ65" s="375"/>
      <c r="JA65" s="375"/>
      <c r="JB65" s="375"/>
      <c r="JC65" s="375"/>
      <c r="JD65" s="375"/>
      <c r="JE65" s="375"/>
      <c r="JF65" s="375"/>
      <c r="JG65" s="375"/>
      <c r="JH65" s="375"/>
      <c r="JI65" s="375"/>
      <c r="JJ65" s="375"/>
      <c r="JK65" s="375"/>
      <c r="JL65" s="375"/>
      <c r="JM65" s="375"/>
      <c r="JN65" s="375"/>
      <c r="JO65" s="375"/>
      <c r="JP65" s="375"/>
      <c r="JQ65" s="375"/>
      <c r="JR65" s="375"/>
      <c r="JS65" s="375"/>
      <c r="JT65" s="375"/>
      <c r="JU65" s="375"/>
      <c r="JV65" s="375"/>
      <c r="JW65" s="375"/>
      <c r="JX65" s="375"/>
      <c r="JY65" s="375"/>
      <c r="JZ65" s="375"/>
      <c r="KA65" s="375"/>
      <c r="KB65" s="375"/>
      <c r="KC65" s="375"/>
      <c r="KD65" s="375"/>
      <c r="KE65" s="375"/>
      <c r="KF65" s="375"/>
      <c r="KG65" s="375"/>
      <c r="KH65" s="375"/>
      <c r="KI65" s="375"/>
      <c r="KJ65" s="375"/>
      <c r="KK65" s="375"/>
      <c r="KL65" s="375"/>
      <c r="KM65" s="375"/>
      <c r="KN65" s="375"/>
      <c r="KO65" s="375"/>
      <c r="KP65" s="375"/>
      <c r="KQ65" s="375"/>
      <c r="KR65" s="375"/>
      <c r="KS65" s="375"/>
      <c r="KT65" s="375"/>
      <c r="KU65" s="375"/>
      <c r="KV65" s="375"/>
      <c r="KW65" s="375"/>
      <c r="KX65" s="375"/>
      <c r="KY65" s="375"/>
      <c r="KZ65" s="375"/>
      <c r="LA65" s="375"/>
      <c r="LB65" s="375"/>
      <c r="LC65" s="375"/>
      <c r="LD65" s="375"/>
      <c r="LE65" s="375"/>
      <c r="LF65" s="375"/>
      <c r="LG65" s="375"/>
      <c r="LH65" s="375"/>
      <c r="LI65" s="375"/>
      <c r="LJ65" s="375"/>
      <c r="LK65" s="375"/>
      <c r="LL65" s="375"/>
      <c r="LM65" s="375"/>
      <c r="LN65" s="375"/>
      <c r="LO65" s="375"/>
      <c r="LP65" s="375"/>
      <c r="LQ65" s="375"/>
    </row>
    <row r="66" spans="1:329" s="254" customFormat="1">
      <c r="A66" s="535"/>
      <c r="B66" s="260"/>
      <c r="C66" s="274"/>
      <c r="D66" s="500">
        <v>12</v>
      </c>
      <c r="E66" s="304" t="s">
        <v>377</v>
      </c>
      <c r="F66" s="466">
        <v>1</v>
      </c>
      <c r="G66" s="258" t="s">
        <v>361</v>
      </c>
      <c r="H66" s="254" t="s">
        <v>366</v>
      </c>
      <c r="I66" s="254" t="s">
        <v>323</v>
      </c>
      <c r="L66" s="255"/>
      <c r="M66" s="255"/>
      <c r="N66" s="375"/>
      <c r="O66" s="375"/>
      <c r="P66" s="375"/>
      <c r="Q66" s="375"/>
      <c r="R66" s="375"/>
      <c r="S66" s="375"/>
      <c r="T66" s="375"/>
      <c r="U66" s="375"/>
      <c r="V66" s="375"/>
      <c r="W66" s="375"/>
      <c r="X66" s="375"/>
      <c r="Y66" s="375"/>
      <c r="Z66" s="375"/>
      <c r="AA66" s="375"/>
      <c r="AB66" s="375"/>
      <c r="AC66" s="375"/>
      <c r="AD66" s="375"/>
      <c r="AE66" s="375"/>
      <c r="AF66" s="375"/>
      <c r="AG66" s="375"/>
      <c r="AH66" s="375"/>
      <c r="AI66" s="375"/>
      <c r="AJ66" s="375"/>
      <c r="AK66" s="375"/>
      <c r="AL66" s="375"/>
      <c r="AM66" s="375"/>
      <c r="AN66" s="375"/>
      <c r="AO66" s="375"/>
      <c r="AP66" s="375"/>
      <c r="AQ66" s="375"/>
      <c r="AR66" s="375"/>
      <c r="AS66" s="375"/>
      <c r="AT66" s="375"/>
      <c r="AU66" s="375"/>
      <c r="AV66" s="375"/>
      <c r="AW66" s="375"/>
      <c r="AX66" s="375"/>
      <c r="AY66" s="375"/>
      <c r="AZ66" s="375"/>
      <c r="BA66" s="375"/>
      <c r="BB66" s="375"/>
      <c r="BC66" s="375"/>
      <c r="BD66" s="375"/>
      <c r="BE66" s="375"/>
      <c r="BF66" s="375"/>
      <c r="BG66" s="375"/>
      <c r="BH66" s="375"/>
      <c r="BI66" s="375"/>
      <c r="BJ66" s="375"/>
      <c r="BK66" s="375"/>
      <c r="BL66" s="375"/>
      <c r="BM66" s="375"/>
      <c r="BN66" s="375"/>
      <c r="BO66" s="375"/>
      <c r="BP66" s="375"/>
      <c r="BQ66" s="375"/>
      <c r="BR66" s="375"/>
      <c r="BS66" s="375"/>
      <c r="BT66" s="375"/>
      <c r="BU66" s="375"/>
      <c r="BV66" s="375"/>
      <c r="BW66" s="375"/>
      <c r="BX66" s="375"/>
      <c r="BY66" s="375"/>
      <c r="BZ66" s="375"/>
      <c r="CA66" s="375"/>
      <c r="CB66" s="375"/>
      <c r="CC66" s="375"/>
      <c r="CD66" s="375"/>
      <c r="CE66" s="375"/>
      <c r="CF66" s="375"/>
      <c r="CG66" s="375"/>
      <c r="CH66" s="375"/>
      <c r="CI66" s="375"/>
      <c r="CJ66" s="375"/>
      <c r="CK66" s="375"/>
      <c r="CL66" s="375"/>
      <c r="CM66" s="375"/>
      <c r="CN66" s="375"/>
      <c r="CO66" s="375"/>
      <c r="CP66" s="375"/>
      <c r="CQ66" s="375"/>
      <c r="CR66" s="375"/>
      <c r="CS66" s="375"/>
      <c r="CT66" s="375"/>
      <c r="CU66" s="375"/>
      <c r="CV66" s="375"/>
      <c r="CW66" s="375"/>
      <c r="CX66" s="375"/>
      <c r="CY66" s="375"/>
      <c r="CZ66" s="375"/>
      <c r="DA66" s="375"/>
      <c r="DB66" s="375"/>
      <c r="DC66" s="375"/>
      <c r="DD66" s="375"/>
      <c r="DE66" s="375"/>
      <c r="DF66" s="375"/>
      <c r="DG66" s="375"/>
      <c r="DH66" s="375"/>
      <c r="DI66" s="375"/>
      <c r="DJ66" s="375"/>
      <c r="DK66" s="375"/>
      <c r="DL66" s="375"/>
      <c r="DM66" s="375"/>
      <c r="DN66" s="375"/>
      <c r="DO66" s="375"/>
      <c r="DP66" s="375"/>
      <c r="DQ66" s="375"/>
      <c r="DR66" s="375"/>
      <c r="DS66" s="375"/>
      <c r="DT66" s="375"/>
      <c r="DU66" s="375"/>
      <c r="DV66" s="375"/>
      <c r="DW66" s="375"/>
      <c r="DX66" s="375"/>
      <c r="DY66" s="375"/>
      <c r="DZ66" s="375"/>
      <c r="EA66" s="375"/>
      <c r="EB66" s="375"/>
      <c r="EC66" s="375"/>
      <c r="ED66" s="375"/>
      <c r="EE66" s="375"/>
      <c r="EF66" s="375"/>
      <c r="EG66" s="375"/>
      <c r="EH66" s="375"/>
      <c r="EI66" s="375"/>
      <c r="EJ66" s="375"/>
      <c r="EK66" s="375"/>
      <c r="EL66" s="375"/>
      <c r="EM66" s="375"/>
      <c r="EN66" s="375"/>
      <c r="EO66" s="375"/>
      <c r="EP66" s="375"/>
      <c r="EQ66" s="375"/>
      <c r="ER66" s="375"/>
      <c r="ES66" s="375"/>
      <c r="ET66" s="375"/>
      <c r="EU66" s="375"/>
      <c r="EV66" s="375"/>
      <c r="EW66" s="375"/>
      <c r="EX66" s="375"/>
      <c r="EY66" s="375"/>
      <c r="EZ66" s="375"/>
      <c r="FA66" s="375"/>
      <c r="FB66" s="375"/>
      <c r="FC66" s="375"/>
      <c r="FD66" s="375"/>
      <c r="FE66" s="375"/>
      <c r="FF66" s="375"/>
      <c r="FG66" s="375"/>
      <c r="FH66" s="375"/>
      <c r="FI66" s="375"/>
      <c r="FJ66" s="375"/>
      <c r="FK66" s="375"/>
      <c r="FL66" s="375"/>
      <c r="FM66" s="375"/>
      <c r="FN66" s="375"/>
      <c r="FO66" s="375"/>
      <c r="FP66" s="375"/>
      <c r="FQ66" s="375"/>
      <c r="FR66" s="375"/>
      <c r="FS66" s="375"/>
      <c r="FT66" s="375"/>
      <c r="FU66" s="375"/>
      <c r="FV66" s="375"/>
      <c r="FW66" s="375"/>
      <c r="FX66" s="375"/>
      <c r="FY66" s="375"/>
      <c r="FZ66" s="375"/>
      <c r="GA66" s="375"/>
      <c r="GB66" s="375"/>
      <c r="GC66" s="375"/>
      <c r="GD66" s="375"/>
      <c r="GE66" s="375"/>
      <c r="GF66" s="375"/>
      <c r="GG66" s="375"/>
      <c r="GH66" s="375"/>
      <c r="GI66" s="375"/>
      <c r="GJ66" s="375"/>
      <c r="GK66" s="375"/>
      <c r="GL66" s="375"/>
      <c r="GM66" s="375"/>
      <c r="GN66" s="375"/>
      <c r="GO66" s="375"/>
      <c r="GP66" s="375"/>
      <c r="GQ66" s="375"/>
      <c r="GR66" s="375"/>
      <c r="GS66" s="375"/>
      <c r="GT66" s="375"/>
      <c r="GU66" s="375"/>
      <c r="GV66" s="375"/>
      <c r="GW66" s="375"/>
      <c r="GX66" s="375"/>
      <c r="GY66" s="375"/>
      <c r="GZ66" s="375"/>
      <c r="HA66" s="375"/>
      <c r="HB66" s="375"/>
      <c r="HC66" s="375"/>
      <c r="HD66" s="375"/>
      <c r="HE66" s="375"/>
      <c r="HF66" s="375"/>
      <c r="HG66" s="375"/>
      <c r="HH66" s="375"/>
      <c r="HI66" s="375"/>
      <c r="HJ66" s="375"/>
      <c r="HK66" s="375"/>
      <c r="HL66" s="375"/>
      <c r="HM66" s="375"/>
      <c r="HN66" s="375"/>
      <c r="HO66" s="375"/>
      <c r="HP66" s="375"/>
      <c r="HQ66" s="375"/>
      <c r="HR66" s="375"/>
      <c r="HS66" s="375"/>
      <c r="HT66" s="375"/>
      <c r="HU66" s="375"/>
      <c r="HV66" s="375"/>
      <c r="HW66" s="375"/>
      <c r="HX66" s="375"/>
      <c r="HY66" s="375"/>
      <c r="HZ66" s="375"/>
      <c r="IA66" s="375"/>
      <c r="IB66" s="375"/>
      <c r="IC66" s="375"/>
      <c r="ID66" s="375"/>
      <c r="IE66" s="375"/>
      <c r="IF66" s="375"/>
      <c r="IG66" s="375"/>
      <c r="IH66" s="375"/>
      <c r="II66" s="375"/>
      <c r="IJ66" s="375"/>
      <c r="IK66" s="375"/>
      <c r="IL66" s="375"/>
      <c r="IM66" s="375"/>
      <c r="IN66" s="375"/>
      <c r="IO66" s="375"/>
      <c r="IP66" s="375"/>
      <c r="IQ66" s="375"/>
      <c r="IR66" s="375"/>
      <c r="IS66" s="375"/>
      <c r="IT66" s="375"/>
      <c r="IU66" s="375"/>
      <c r="IV66" s="375"/>
      <c r="IW66" s="375"/>
      <c r="IX66" s="375"/>
      <c r="IY66" s="375"/>
      <c r="IZ66" s="375"/>
      <c r="JA66" s="375"/>
      <c r="JB66" s="375"/>
      <c r="JC66" s="375"/>
      <c r="JD66" s="375"/>
      <c r="JE66" s="375"/>
      <c r="JF66" s="375"/>
      <c r="JG66" s="375"/>
      <c r="JH66" s="375"/>
      <c r="JI66" s="375"/>
      <c r="JJ66" s="375"/>
      <c r="JK66" s="375"/>
      <c r="JL66" s="375"/>
      <c r="JM66" s="375"/>
      <c r="JN66" s="375"/>
      <c r="JO66" s="375"/>
      <c r="JP66" s="375"/>
      <c r="JQ66" s="375"/>
      <c r="JR66" s="375"/>
      <c r="JS66" s="375"/>
      <c r="JT66" s="375"/>
      <c r="JU66" s="375"/>
      <c r="JV66" s="375"/>
      <c r="JW66" s="375"/>
      <c r="JX66" s="375"/>
      <c r="JY66" s="375"/>
      <c r="JZ66" s="375"/>
      <c r="KA66" s="375"/>
      <c r="KB66" s="375"/>
      <c r="KC66" s="375"/>
      <c r="KD66" s="375"/>
      <c r="KE66" s="375"/>
      <c r="KF66" s="375"/>
      <c r="KG66" s="375"/>
      <c r="KH66" s="375"/>
      <c r="KI66" s="375"/>
      <c r="KJ66" s="375"/>
      <c r="KK66" s="375"/>
      <c r="KL66" s="375"/>
      <c r="KM66" s="375"/>
      <c r="KN66" s="375"/>
      <c r="KO66" s="375"/>
      <c r="KP66" s="375"/>
      <c r="KQ66" s="375"/>
      <c r="KR66" s="375"/>
      <c r="KS66" s="375"/>
      <c r="KT66" s="375"/>
      <c r="KU66" s="375"/>
      <c r="KV66" s="375"/>
      <c r="KW66" s="375"/>
      <c r="KX66" s="375"/>
      <c r="KY66" s="375"/>
      <c r="KZ66" s="375"/>
      <c r="LA66" s="375"/>
      <c r="LB66" s="375"/>
      <c r="LC66" s="375"/>
      <c r="LD66" s="375"/>
      <c r="LE66" s="375"/>
      <c r="LF66" s="375"/>
      <c r="LG66" s="375"/>
      <c r="LH66" s="375"/>
      <c r="LI66" s="375"/>
      <c r="LJ66" s="375"/>
      <c r="LK66" s="375"/>
      <c r="LL66" s="375"/>
      <c r="LM66" s="375"/>
      <c r="LN66" s="375"/>
      <c r="LO66" s="375"/>
      <c r="LP66" s="375"/>
      <c r="LQ66" s="375"/>
    </row>
    <row r="67" spans="1:329" s="254" customFormat="1">
      <c r="A67" s="535"/>
      <c r="B67" s="260"/>
      <c r="C67" s="274"/>
      <c r="D67" s="500">
        <v>13</v>
      </c>
      <c r="E67" s="304" t="s">
        <v>378</v>
      </c>
      <c r="F67" s="466">
        <v>1</v>
      </c>
      <c r="G67" s="258" t="s">
        <v>361</v>
      </c>
      <c r="H67" s="254" t="s">
        <v>366</v>
      </c>
      <c r="I67" s="254" t="s">
        <v>323</v>
      </c>
      <c r="L67" s="255"/>
      <c r="M67" s="255"/>
      <c r="N67" s="375"/>
      <c r="O67" s="375"/>
      <c r="P67" s="375"/>
      <c r="Q67" s="375"/>
      <c r="R67" s="375"/>
      <c r="S67" s="375"/>
      <c r="T67" s="375"/>
      <c r="U67" s="375"/>
      <c r="V67" s="375"/>
      <c r="W67" s="375"/>
      <c r="X67" s="375"/>
      <c r="Y67" s="375"/>
      <c r="Z67" s="375"/>
      <c r="AA67" s="375"/>
      <c r="AB67" s="375"/>
      <c r="AC67" s="375"/>
      <c r="AD67" s="375"/>
      <c r="AE67" s="375"/>
      <c r="AF67" s="375"/>
      <c r="AG67" s="375"/>
      <c r="AH67" s="375"/>
      <c r="AI67" s="375"/>
      <c r="AJ67" s="375"/>
      <c r="AK67" s="375"/>
      <c r="AL67" s="375"/>
      <c r="AM67" s="375"/>
      <c r="AN67" s="375"/>
      <c r="AO67" s="375"/>
      <c r="AP67" s="375"/>
      <c r="AQ67" s="375"/>
      <c r="AR67" s="375"/>
      <c r="AS67" s="375"/>
      <c r="AT67" s="375"/>
      <c r="AU67" s="375"/>
      <c r="AV67" s="375"/>
      <c r="AW67" s="375"/>
      <c r="AX67" s="375"/>
      <c r="AY67" s="375"/>
      <c r="AZ67" s="375"/>
      <c r="BA67" s="375"/>
      <c r="BB67" s="375"/>
      <c r="BC67" s="375"/>
      <c r="BD67" s="375"/>
      <c r="BE67" s="375"/>
      <c r="BF67" s="375"/>
      <c r="BG67" s="375"/>
      <c r="BH67" s="375"/>
      <c r="BI67" s="375"/>
      <c r="BJ67" s="375"/>
      <c r="BK67" s="375"/>
      <c r="BL67" s="375"/>
      <c r="BM67" s="375"/>
      <c r="BN67" s="375"/>
      <c r="BO67" s="375"/>
      <c r="BP67" s="375"/>
      <c r="BQ67" s="375"/>
      <c r="BR67" s="375"/>
      <c r="BS67" s="375"/>
      <c r="BT67" s="375"/>
      <c r="BU67" s="375"/>
      <c r="BV67" s="375"/>
      <c r="BW67" s="375"/>
      <c r="BX67" s="375"/>
      <c r="BY67" s="375"/>
      <c r="BZ67" s="375"/>
      <c r="CA67" s="375"/>
      <c r="CB67" s="375"/>
      <c r="CC67" s="375"/>
      <c r="CD67" s="375"/>
      <c r="CE67" s="375"/>
      <c r="CF67" s="375"/>
      <c r="CG67" s="375"/>
      <c r="CH67" s="375"/>
      <c r="CI67" s="375"/>
      <c r="CJ67" s="375"/>
      <c r="CK67" s="375"/>
      <c r="CL67" s="375"/>
      <c r="CM67" s="375"/>
      <c r="CN67" s="375"/>
      <c r="CO67" s="375"/>
      <c r="CP67" s="375"/>
      <c r="CQ67" s="375"/>
      <c r="CR67" s="375"/>
      <c r="CS67" s="375"/>
      <c r="CT67" s="375"/>
      <c r="CU67" s="375"/>
      <c r="CV67" s="375"/>
      <c r="CW67" s="375"/>
      <c r="CX67" s="375"/>
      <c r="CY67" s="375"/>
      <c r="CZ67" s="375"/>
      <c r="DA67" s="375"/>
      <c r="DB67" s="375"/>
      <c r="DC67" s="375"/>
      <c r="DD67" s="375"/>
      <c r="DE67" s="375"/>
      <c r="DF67" s="375"/>
      <c r="DG67" s="375"/>
      <c r="DH67" s="375"/>
      <c r="DI67" s="375"/>
      <c r="DJ67" s="375"/>
      <c r="DK67" s="375"/>
      <c r="DL67" s="375"/>
      <c r="DM67" s="375"/>
      <c r="DN67" s="375"/>
      <c r="DO67" s="375"/>
      <c r="DP67" s="375"/>
      <c r="DQ67" s="375"/>
      <c r="DR67" s="375"/>
      <c r="DS67" s="375"/>
      <c r="DT67" s="375"/>
      <c r="DU67" s="375"/>
      <c r="DV67" s="375"/>
      <c r="DW67" s="375"/>
      <c r="DX67" s="375"/>
      <c r="DY67" s="375"/>
      <c r="DZ67" s="375"/>
      <c r="EA67" s="375"/>
      <c r="EB67" s="375"/>
      <c r="EC67" s="375"/>
      <c r="ED67" s="375"/>
      <c r="EE67" s="375"/>
      <c r="EF67" s="375"/>
      <c r="EG67" s="375"/>
      <c r="EH67" s="375"/>
      <c r="EI67" s="375"/>
      <c r="EJ67" s="375"/>
      <c r="EK67" s="375"/>
      <c r="EL67" s="375"/>
      <c r="EM67" s="375"/>
      <c r="EN67" s="375"/>
      <c r="EO67" s="375"/>
      <c r="EP67" s="375"/>
      <c r="EQ67" s="375"/>
      <c r="ER67" s="375"/>
      <c r="ES67" s="375"/>
      <c r="ET67" s="375"/>
      <c r="EU67" s="375"/>
      <c r="EV67" s="375"/>
      <c r="EW67" s="375"/>
      <c r="EX67" s="375"/>
      <c r="EY67" s="375"/>
      <c r="EZ67" s="375"/>
      <c r="FA67" s="375"/>
      <c r="FB67" s="375"/>
      <c r="FC67" s="375"/>
      <c r="FD67" s="375"/>
      <c r="FE67" s="375"/>
      <c r="FF67" s="375"/>
      <c r="FG67" s="375"/>
      <c r="FH67" s="375"/>
      <c r="FI67" s="375"/>
      <c r="FJ67" s="375"/>
      <c r="FK67" s="375"/>
      <c r="FL67" s="375"/>
      <c r="FM67" s="375"/>
      <c r="FN67" s="375"/>
      <c r="FO67" s="375"/>
      <c r="FP67" s="375"/>
      <c r="FQ67" s="375"/>
      <c r="FR67" s="375"/>
      <c r="FS67" s="375"/>
      <c r="FT67" s="375"/>
      <c r="FU67" s="375"/>
      <c r="FV67" s="375"/>
      <c r="FW67" s="375"/>
      <c r="FX67" s="375"/>
      <c r="FY67" s="375"/>
      <c r="FZ67" s="375"/>
      <c r="GA67" s="375"/>
      <c r="GB67" s="375"/>
      <c r="GC67" s="375"/>
      <c r="GD67" s="375"/>
      <c r="GE67" s="375"/>
      <c r="GF67" s="375"/>
      <c r="GG67" s="375"/>
      <c r="GH67" s="375"/>
      <c r="GI67" s="375"/>
      <c r="GJ67" s="375"/>
      <c r="GK67" s="375"/>
      <c r="GL67" s="375"/>
      <c r="GM67" s="375"/>
      <c r="GN67" s="375"/>
      <c r="GO67" s="375"/>
      <c r="GP67" s="375"/>
      <c r="GQ67" s="375"/>
      <c r="GR67" s="375"/>
      <c r="GS67" s="375"/>
      <c r="GT67" s="375"/>
      <c r="GU67" s="375"/>
      <c r="GV67" s="375"/>
      <c r="GW67" s="375"/>
      <c r="GX67" s="375"/>
      <c r="GY67" s="375"/>
      <c r="GZ67" s="375"/>
      <c r="HA67" s="375"/>
      <c r="HB67" s="375"/>
      <c r="HC67" s="375"/>
      <c r="HD67" s="375"/>
      <c r="HE67" s="375"/>
      <c r="HF67" s="375"/>
      <c r="HG67" s="375"/>
      <c r="HH67" s="375"/>
      <c r="HI67" s="375"/>
      <c r="HJ67" s="375"/>
      <c r="HK67" s="375"/>
      <c r="HL67" s="375"/>
      <c r="HM67" s="375"/>
      <c r="HN67" s="375"/>
      <c r="HO67" s="375"/>
      <c r="HP67" s="375"/>
      <c r="HQ67" s="375"/>
      <c r="HR67" s="375"/>
      <c r="HS67" s="375"/>
      <c r="HT67" s="375"/>
      <c r="HU67" s="375"/>
      <c r="HV67" s="375"/>
      <c r="HW67" s="375"/>
      <c r="HX67" s="375"/>
      <c r="HY67" s="375"/>
      <c r="HZ67" s="375"/>
      <c r="IA67" s="375"/>
      <c r="IB67" s="375"/>
      <c r="IC67" s="375"/>
      <c r="ID67" s="375"/>
      <c r="IE67" s="375"/>
      <c r="IF67" s="375"/>
      <c r="IG67" s="375"/>
      <c r="IH67" s="375"/>
      <c r="II67" s="375"/>
      <c r="IJ67" s="375"/>
      <c r="IK67" s="375"/>
      <c r="IL67" s="375"/>
      <c r="IM67" s="375"/>
      <c r="IN67" s="375"/>
      <c r="IO67" s="375"/>
      <c r="IP67" s="375"/>
      <c r="IQ67" s="375"/>
      <c r="IR67" s="375"/>
      <c r="IS67" s="375"/>
      <c r="IT67" s="375"/>
      <c r="IU67" s="375"/>
      <c r="IV67" s="375"/>
      <c r="IW67" s="375"/>
      <c r="IX67" s="375"/>
      <c r="IY67" s="375"/>
      <c r="IZ67" s="375"/>
      <c r="JA67" s="375"/>
      <c r="JB67" s="375"/>
      <c r="JC67" s="375"/>
      <c r="JD67" s="375"/>
      <c r="JE67" s="375"/>
      <c r="JF67" s="375"/>
      <c r="JG67" s="375"/>
      <c r="JH67" s="375"/>
      <c r="JI67" s="375"/>
      <c r="JJ67" s="375"/>
      <c r="JK67" s="375"/>
      <c r="JL67" s="375"/>
      <c r="JM67" s="375"/>
      <c r="JN67" s="375"/>
      <c r="JO67" s="375"/>
      <c r="JP67" s="375"/>
      <c r="JQ67" s="375"/>
      <c r="JR67" s="375"/>
      <c r="JS67" s="375"/>
      <c r="JT67" s="375"/>
      <c r="JU67" s="375"/>
      <c r="JV67" s="375"/>
      <c r="JW67" s="375"/>
      <c r="JX67" s="375"/>
      <c r="JY67" s="375"/>
      <c r="JZ67" s="375"/>
      <c r="KA67" s="375"/>
      <c r="KB67" s="375"/>
      <c r="KC67" s="375"/>
      <c r="KD67" s="375"/>
      <c r="KE67" s="375"/>
      <c r="KF67" s="375"/>
      <c r="KG67" s="375"/>
      <c r="KH67" s="375"/>
      <c r="KI67" s="375"/>
      <c r="KJ67" s="375"/>
      <c r="KK67" s="375"/>
      <c r="KL67" s="375"/>
      <c r="KM67" s="375"/>
      <c r="KN67" s="375"/>
      <c r="KO67" s="375"/>
      <c r="KP67" s="375"/>
      <c r="KQ67" s="375"/>
      <c r="KR67" s="375"/>
      <c r="KS67" s="375"/>
      <c r="KT67" s="375"/>
      <c r="KU67" s="375"/>
      <c r="KV67" s="375"/>
      <c r="KW67" s="375"/>
      <c r="KX67" s="375"/>
      <c r="KY67" s="375"/>
      <c r="KZ67" s="375"/>
      <c r="LA67" s="375"/>
      <c r="LB67" s="375"/>
      <c r="LC67" s="375"/>
      <c r="LD67" s="375"/>
      <c r="LE67" s="375"/>
      <c r="LF67" s="375"/>
      <c r="LG67" s="375"/>
      <c r="LH67" s="375"/>
      <c r="LI67" s="375"/>
      <c r="LJ67" s="375"/>
      <c r="LK67" s="375"/>
      <c r="LL67" s="375"/>
      <c r="LM67" s="375"/>
      <c r="LN67" s="375"/>
      <c r="LO67" s="375"/>
      <c r="LP67" s="375"/>
      <c r="LQ67" s="375"/>
    </row>
    <row r="68" spans="1:329" s="254" customFormat="1">
      <c r="A68" s="535"/>
      <c r="B68" s="260"/>
      <c r="C68" s="274"/>
      <c r="D68" s="500">
        <v>14</v>
      </c>
      <c r="E68" s="304" t="s">
        <v>379</v>
      </c>
      <c r="F68" s="466">
        <v>1</v>
      </c>
      <c r="G68" s="258" t="s">
        <v>361</v>
      </c>
      <c r="H68" s="254" t="s">
        <v>366</v>
      </c>
      <c r="I68" s="254" t="s">
        <v>323</v>
      </c>
      <c r="L68" s="255"/>
      <c r="M68" s="255"/>
      <c r="N68" s="375"/>
      <c r="O68" s="375"/>
      <c r="P68" s="375"/>
      <c r="Q68" s="375"/>
      <c r="R68" s="375"/>
      <c r="S68" s="375"/>
      <c r="T68" s="375"/>
      <c r="U68" s="375"/>
      <c r="V68" s="375"/>
      <c r="W68" s="375"/>
      <c r="X68" s="375"/>
      <c r="Y68" s="375"/>
      <c r="Z68" s="375"/>
      <c r="AA68" s="375"/>
      <c r="AB68" s="375"/>
      <c r="AC68" s="375"/>
      <c r="AD68" s="375"/>
      <c r="AE68" s="375"/>
      <c r="AF68" s="375"/>
      <c r="AG68" s="375"/>
      <c r="AH68" s="375"/>
      <c r="AI68" s="375"/>
      <c r="AJ68" s="375"/>
      <c r="AK68" s="375"/>
      <c r="AL68" s="375"/>
      <c r="AM68" s="375"/>
      <c r="AN68" s="375"/>
      <c r="AO68" s="375"/>
      <c r="AP68" s="375"/>
      <c r="AQ68" s="375"/>
      <c r="AR68" s="375"/>
      <c r="AS68" s="375"/>
      <c r="AT68" s="375"/>
      <c r="AU68" s="375"/>
      <c r="AV68" s="375"/>
      <c r="AW68" s="375"/>
      <c r="AX68" s="375"/>
      <c r="AY68" s="375"/>
      <c r="AZ68" s="375"/>
      <c r="BA68" s="375"/>
      <c r="BB68" s="375"/>
      <c r="BC68" s="375"/>
      <c r="BD68" s="375"/>
      <c r="BE68" s="375"/>
      <c r="BF68" s="375"/>
      <c r="BG68" s="375"/>
      <c r="BH68" s="375"/>
      <c r="BI68" s="375"/>
      <c r="BJ68" s="375"/>
      <c r="BK68" s="375"/>
      <c r="BL68" s="375"/>
      <c r="BM68" s="375"/>
      <c r="BN68" s="375"/>
      <c r="BO68" s="375"/>
      <c r="BP68" s="375"/>
      <c r="BQ68" s="375"/>
      <c r="BR68" s="375"/>
      <c r="BS68" s="375"/>
      <c r="BT68" s="375"/>
      <c r="BU68" s="375"/>
      <c r="BV68" s="375"/>
      <c r="BW68" s="375"/>
      <c r="BX68" s="375"/>
      <c r="BY68" s="375"/>
      <c r="BZ68" s="375"/>
      <c r="CA68" s="375"/>
      <c r="CB68" s="375"/>
      <c r="CC68" s="375"/>
      <c r="CD68" s="375"/>
      <c r="CE68" s="375"/>
      <c r="CF68" s="375"/>
      <c r="CG68" s="375"/>
      <c r="CH68" s="375"/>
      <c r="CI68" s="375"/>
      <c r="CJ68" s="375"/>
      <c r="CK68" s="375"/>
      <c r="CL68" s="375"/>
      <c r="CM68" s="375"/>
      <c r="CN68" s="375"/>
      <c r="CO68" s="375"/>
      <c r="CP68" s="375"/>
      <c r="CQ68" s="375"/>
      <c r="CR68" s="375"/>
      <c r="CS68" s="375"/>
      <c r="CT68" s="375"/>
      <c r="CU68" s="375"/>
      <c r="CV68" s="375"/>
      <c r="CW68" s="375"/>
      <c r="CX68" s="375"/>
      <c r="CY68" s="375"/>
      <c r="CZ68" s="375"/>
      <c r="DA68" s="375"/>
      <c r="DB68" s="375"/>
      <c r="DC68" s="375"/>
      <c r="DD68" s="375"/>
      <c r="DE68" s="375"/>
      <c r="DF68" s="375"/>
      <c r="DG68" s="375"/>
      <c r="DH68" s="375"/>
      <c r="DI68" s="375"/>
      <c r="DJ68" s="375"/>
      <c r="DK68" s="375"/>
      <c r="DL68" s="375"/>
      <c r="DM68" s="375"/>
      <c r="DN68" s="375"/>
      <c r="DO68" s="375"/>
      <c r="DP68" s="375"/>
      <c r="DQ68" s="375"/>
      <c r="DR68" s="375"/>
      <c r="DS68" s="375"/>
      <c r="DT68" s="375"/>
      <c r="DU68" s="375"/>
      <c r="DV68" s="375"/>
      <c r="DW68" s="375"/>
      <c r="DX68" s="375"/>
      <c r="DY68" s="375"/>
      <c r="DZ68" s="375"/>
      <c r="EA68" s="375"/>
      <c r="EB68" s="375"/>
      <c r="EC68" s="375"/>
      <c r="ED68" s="375"/>
      <c r="EE68" s="375"/>
      <c r="EF68" s="375"/>
      <c r="EG68" s="375"/>
      <c r="EH68" s="375"/>
      <c r="EI68" s="375"/>
      <c r="EJ68" s="375"/>
      <c r="EK68" s="375"/>
      <c r="EL68" s="375"/>
      <c r="EM68" s="375"/>
      <c r="EN68" s="375"/>
      <c r="EO68" s="375"/>
      <c r="EP68" s="375"/>
      <c r="EQ68" s="375"/>
      <c r="ER68" s="375"/>
      <c r="ES68" s="375"/>
      <c r="ET68" s="375"/>
      <c r="EU68" s="375"/>
      <c r="EV68" s="375"/>
      <c r="EW68" s="375"/>
      <c r="EX68" s="375"/>
      <c r="EY68" s="375"/>
      <c r="EZ68" s="375"/>
      <c r="FA68" s="375"/>
      <c r="FB68" s="375"/>
      <c r="FC68" s="375"/>
      <c r="FD68" s="375"/>
      <c r="FE68" s="375"/>
      <c r="FF68" s="375"/>
      <c r="FG68" s="375"/>
      <c r="FH68" s="375"/>
      <c r="FI68" s="375"/>
      <c r="FJ68" s="375"/>
      <c r="FK68" s="375"/>
      <c r="FL68" s="375"/>
      <c r="FM68" s="375"/>
      <c r="FN68" s="375"/>
      <c r="FO68" s="375"/>
      <c r="FP68" s="375"/>
      <c r="FQ68" s="375"/>
      <c r="FR68" s="375"/>
      <c r="FS68" s="375"/>
      <c r="FT68" s="375"/>
      <c r="FU68" s="375"/>
      <c r="FV68" s="375"/>
      <c r="FW68" s="375"/>
      <c r="FX68" s="375"/>
      <c r="FY68" s="375"/>
      <c r="FZ68" s="375"/>
      <c r="GA68" s="375"/>
      <c r="GB68" s="375"/>
      <c r="GC68" s="375"/>
      <c r="GD68" s="375"/>
      <c r="GE68" s="375"/>
      <c r="GF68" s="375"/>
      <c r="GG68" s="375"/>
      <c r="GH68" s="375"/>
      <c r="GI68" s="375"/>
      <c r="GJ68" s="375"/>
      <c r="GK68" s="375"/>
      <c r="GL68" s="375"/>
      <c r="GM68" s="375"/>
      <c r="GN68" s="375"/>
      <c r="GO68" s="375"/>
      <c r="GP68" s="375"/>
      <c r="GQ68" s="375"/>
      <c r="GR68" s="375"/>
      <c r="GS68" s="375"/>
      <c r="GT68" s="375"/>
      <c r="GU68" s="375"/>
      <c r="GV68" s="375"/>
      <c r="GW68" s="375"/>
      <c r="GX68" s="375"/>
      <c r="GY68" s="375"/>
      <c r="GZ68" s="375"/>
      <c r="HA68" s="375"/>
      <c r="HB68" s="375"/>
      <c r="HC68" s="375"/>
      <c r="HD68" s="375"/>
      <c r="HE68" s="375"/>
      <c r="HF68" s="375"/>
      <c r="HG68" s="375"/>
      <c r="HH68" s="375"/>
      <c r="HI68" s="375"/>
      <c r="HJ68" s="375"/>
      <c r="HK68" s="375"/>
      <c r="HL68" s="375"/>
      <c r="HM68" s="375"/>
      <c r="HN68" s="375"/>
      <c r="HO68" s="375"/>
      <c r="HP68" s="375"/>
      <c r="HQ68" s="375"/>
      <c r="HR68" s="375"/>
      <c r="HS68" s="375"/>
      <c r="HT68" s="375"/>
      <c r="HU68" s="375"/>
      <c r="HV68" s="375"/>
      <c r="HW68" s="375"/>
      <c r="HX68" s="375"/>
      <c r="HY68" s="375"/>
      <c r="HZ68" s="375"/>
      <c r="IA68" s="375"/>
      <c r="IB68" s="375"/>
      <c r="IC68" s="375"/>
      <c r="ID68" s="375"/>
      <c r="IE68" s="375"/>
      <c r="IF68" s="375"/>
      <c r="IG68" s="375"/>
      <c r="IH68" s="375"/>
      <c r="II68" s="375"/>
      <c r="IJ68" s="375"/>
      <c r="IK68" s="375"/>
      <c r="IL68" s="375"/>
      <c r="IM68" s="375"/>
      <c r="IN68" s="375"/>
      <c r="IO68" s="375"/>
      <c r="IP68" s="375"/>
      <c r="IQ68" s="375"/>
      <c r="IR68" s="375"/>
      <c r="IS68" s="375"/>
      <c r="IT68" s="375"/>
      <c r="IU68" s="375"/>
      <c r="IV68" s="375"/>
      <c r="IW68" s="375"/>
      <c r="IX68" s="375"/>
      <c r="IY68" s="375"/>
      <c r="IZ68" s="375"/>
      <c r="JA68" s="375"/>
      <c r="JB68" s="375"/>
      <c r="JC68" s="375"/>
      <c r="JD68" s="375"/>
      <c r="JE68" s="375"/>
      <c r="JF68" s="375"/>
      <c r="JG68" s="375"/>
      <c r="JH68" s="375"/>
      <c r="JI68" s="375"/>
      <c r="JJ68" s="375"/>
      <c r="JK68" s="375"/>
      <c r="JL68" s="375"/>
      <c r="JM68" s="375"/>
      <c r="JN68" s="375"/>
      <c r="JO68" s="375"/>
      <c r="JP68" s="375"/>
      <c r="JQ68" s="375"/>
      <c r="JR68" s="375"/>
      <c r="JS68" s="375"/>
      <c r="JT68" s="375"/>
      <c r="JU68" s="375"/>
      <c r="JV68" s="375"/>
      <c r="JW68" s="375"/>
      <c r="JX68" s="375"/>
      <c r="JY68" s="375"/>
      <c r="JZ68" s="375"/>
      <c r="KA68" s="375"/>
      <c r="KB68" s="375"/>
      <c r="KC68" s="375"/>
      <c r="KD68" s="375"/>
      <c r="KE68" s="375"/>
      <c r="KF68" s="375"/>
      <c r="KG68" s="375"/>
      <c r="KH68" s="375"/>
      <c r="KI68" s="375"/>
      <c r="KJ68" s="375"/>
      <c r="KK68" s="375"/>
      <c r="KL68" s="375"/>
      <c r="KM68" s="375"/>
      <c r="KN68" s="375"/>
      <c r="KO68" s="375"/>
      <c r="KP68" s="375"/>
      <c r="KQ68" s="375"/>
      <c r="KR68" s="375"/>
      <c r="KS68" s="375"/>
      <c r="KT68" s="375"/>
      <c r="KU68" s="375"/>
      <c r="KV68" s="375"/>
      <c r="KW68" s="375"/>
      <c r="KX68" s="375"/>
      <c r="KY68" s="375"/>
      <c r="KZ68" s="375"/>
      <c r="LA68" s="375"/>
      <c r="LB68" s="375"/>
      <c r="LC68" s="375"/>
      <c r="LD68" s="375"/>
      <c r="LE68" s="375"/>
      <c r="LF68" s="375"/>
      <c r="LG68" s="375"/>
      <c r="LH68" s="375"/>
      <c r="LI68" s="375"/>
      <c r="LJ68" s="375"/>
      <c r="LK68" s="375"/>
      <c r="LL68" s="375"/>
      <c r="LM68" s="375"/>
      <c r="LN68" s="375"/>
      <c r="LO68" s="375"/>
      <c r="LP68" s="375"/>
      <c r="LQ68" s="375"/>
    </row>
    <row r="69" spans="1:329" s="254" customFormat="1">
      <c r="A69" s="535"/>
      <c r="B69" s="260"/>
      <c r="C69" s="274"/>
      <c r="D69" s="500">
        <v>15</v>
      </c>
      <c r="E69" s="304" t="s">
        <v>380</v>
      </c>
      <c r="F69" s="466">
        <v>1</v>
      </c>
      <c r="G69" s="258" t="s">
        <v>361</v>
      </c>
      <c r="H69" s="254" t="s">
        <v>366</v>
      </c>
      <c r="I69" s="254" t="s">
        <v>323</v>
      </c>
      <c r="L69" s="255"/>
      <c r="M69" s="255"/>
      <c r="N69" s="375"/>
      <c r="O69" s="375"/>
      <c r="P69" s="375"/>
      <c r="Q69" s="375"/>
      <c r="R69" s="375"/>
      <c r="S69" s="375"/>
      <c r="T69" s="375"/>
      <c r="U69" s="375"/>
      <c r="V69" s="375"/>
      <c r="W69" s="375"/>
      <c r="X69" s="375"/>
      <c r="Y69" s="375"/>
      <c r="Z69" s="375"/>
      <c r="AA69" s="375"/>
      <c r="AB69" s="375"/>
      <c r="AC69" s="375"/>
      <c r="AD69" s="375"/>
      <c r="AE69" s="375"/>
      <c r="AF69" s="375"/>
      <c r="AG69" s="375"/>
      <c r="AH69" s="375"/>
      <c r="AI69" s="375"/>
      <c r="AJ69" s="375"/>
      <c r="AK69" s="375"/>
      <c r="AL69" s="375"/>
      <c r="AM69" s="375"/>
      <c r="AN69" s="375"/>
      <c r="AO69" s="375"/>
      <c r="AP69" s="375"/>
      <c r="AQ69" s="375"/>
      <c r="AR69" s="375"/>
      <c r="AS69" s="375"/>
      <c r="AT69" s="375"/>
      <c r="AU69" s="375"/>
      <c r="AV69" s="375"/>
      <c r="AW69" s="375"/>
      <c r="AX69" s="375"/>
      <c r="AY69" s="375"/>
      <c r="AZ69" s="375"/>
      <c r="BA69" s="375"/>
      <c r="BB69" s="375"/>
      <c r="BC69" s="375"/>
      <c r="BD69" s="375"/>
      <c r="BE69" s="375"/>
      <c r="BF69" s="375"/>
      <c r="BG69" s="375"/>
      <c r="BH69" s="375"/>
      <c r="BI69" s="375"/>
      <c r="BJ69" s="375"/>
      <c r="BK69" s="375"/>
      <c r="BL69" s="375"/>
      <c r="BM69" s="375"/>
      <c r="BN69" s="375"/>
      <c r="BO69" s="375"/>
      <c r="BP69" s="375"/>
      <c r="BQ69" s="375"/>
      <c r="BR69" s="375"/>
      <c r="BS69" s="375"/>
      <c r="BT69" s="375"/>
      <c r="BU69" s="375"/>
      <c r="BV69" s="375"/>
      <c r="BW69" s="375"/>
      <c r="BX69" s="375"/>
      <c r="BY69" s="375"/>
      <c r="BZ69" s="375"/>
      <c r="CA69" s="375"/>
      <c r="CB69" s="375"/>
      <c r="CC69" s="375"/>
      <c r="CD69" s="375"/>
      <c r="CE69" s="375"/>
      <c r="CF69" s="375"/>
      <c r="CG69" s="375"/>
      <c r="CH69" s="375"/>
      <c r="CI69" s="375"/>
      <c r="CJ69" s="375"/>
      <c r="CK69" s="375"/>
      <c r="CL69" s="375"/>
      <c r="CM69" s="375"/>
      <c r="CN69" s="375"/>
      <c r="CO69" s="375"/>
      <c r="CP69" s="375"/>
      <c r="CQ69" s="375"/>
      <c r="CR69" s="375"/>
      <c r="CS69" s="375"/>
      <c r="CT69" s="375"/>
      <c r="CU69" s="375"/>
      <c r="CV69" s="375"/>
      <c r="CW69" s="375"/>
      <c r="CX69" s="375"/>
      <c r="CY69" s="375"/>
      <c r="CZ69" s="375"/>
      <c r="DA69" s="375"/>
      <c r="DB69" s="375"/>
      <c r="DC69" s="375"/>
      <c r="DD69" s="375"/>
      <c r="DE69" s="375"/>
      <c r="DF69" s="375"/>
      <c r="DG69" s="375"/>
      <c r="DH69" s="375"/>
      <c r="DI69" s="375"/>
      <c r="DJ69" s="375"/>
      <c r="DK69" s="375"/>
      <c r="DL69" s="375"/>
      <c r="DM69" s="375"/>
      <c r="DN69" s="375"/>
      <c r="DO69" s="375"/>
      <c r="DP69" s="375"/>
      <c r="DQ69" s="375"/>
      <c r="DR69" s="375"/>
      <c r="DS69" s="375"/>
      <c r="DT69" s="375"/>
      <c r="DU69" s="375"/>
      <c r="DV69" s="375"/>
      <c r="DW69" s="375"/>
      <c r="DX69" s="375"/>
      <c r="DY69" s="375"/>
      <c r="DZ69" s="375"/>
      <c r="EA69" s="375"/>
      <c r="EB69" s="375"/>
      <c r="EC69" s="375"/>
      <c r="ED69" s="375"/>
      <c r="EE69" s="375"/>
      <c r="EF69" s="375"/>
      <c r="EG69" s="375"/>
      <c r="EH69" s="375"/>
      <c r="EI69" s="375"/>
      <c r="EJ69" s="375"/>
      <c r="EK69" s="375"/>
      <c r="EL69" s="375"/>
      <c r="EM69" s="375"/>
      <c r="EN69" s="375"/>
      <c r="EO69" s="375"/>
      <c r="EP69" s="375"/>
      <c r="EQ69" s="375"/>
      <c r="ER69" s="375"/>
      <c r="ES69" s="375"/>
      <c r="ET69" s="375"/>
      <c r="EU69" s="375"/>
      <c r="EV69" s="375"/>
      <c r="EW69" s="375"/>
      <c r="EX69" s="375"/>
      <c r="EY69" s="375"/>
      <c r="EZ69" s="375"/>
      <c r="FA69" s="375"/>
      <c r="FB69" s="375"/>
      <c r="FC69" s="375"/>
      <c r="FD69" s="375"/>
      <c r="FE69" s="375"/>
      <c r="FF69" s="375"/>
      <c r="FG69" s="375"/>
      <c r="FH69" s="375"/>
      <c r="FI69" s="375"/>
      <c r="FJ69" s="375"/>
      <c r="FK69" s="375"/>
      <c r="FL69" s="375"/>
      <c r="FM69" s="375"/>
      <c r="FN69" s="375"/>
      <c r="FO69" s="375"/>
      <c r="FP69" s="375"/>
      <c r="FQ69" s="375"/>
      <c r="FR69" s="375"/>
      <c r="FS69" s="375"/>
      <c r="FT69" s="375"/>
      <c r="FU69" s="375"/>
      <c r="FV69" s="375"/>
      <c r="FW69" s="375"/>
      <c r="FX69" s="375"/>
      <c r="FY69" s="375"/>
      <c r="FZ69" s="375"/>
      <c r="GA69" s="375"/>
      <c r="GB69" s="375"/>
      <c r="GC69" s="375"/>
      <c r="GD69" s="375"/>
      <c r="GE69" s="375"/>
      <c r="GF69" s="375"/>
      <c r="GG69" s="375"/>
      <c r="GH69" s="375"/>
      <c r="GI69" s="375"/>
      <c r="GJ69" s="375"/>
      <c r="GK69" s="375"/>
      <c r="GL69" s="375"/>
      <c r="GM69" s="375"/>
      <c r="GN69" s="375"/>
      <c r="GO69" s="375"/>
      <c r="GP69" s="375"/>
      <c r="GQ69" s="375"/>
      <c r="GR69" s="375"/>
      <c r="GS69" s="375"/>
      <c r="GT69" s="375"/>
      <c r="GU69" s="375"/>
      <c r="GV69" s="375"/>
      <c r="GW69" s="375"/>
      <c r="GX69" s="375"/>
      <c r="GY69" s="375"/>
      <c r="GZ69" s="375"/>
      <c r="HA69" s="375"/>
      <c r="HB69" s="375"/>
      <c r="HC69" s="375"/>
      <c r="HD69" s="375"/>
      <c r="HE69" s="375"/>
      <c r="HF69" s="375"/>
      <c r="HG69" s="375"/>
      <c r="HH69" s="375"/>
      <c r="HI69" s="375"/>
      <c r="HJ69" s="375"/>
      <c r="HK69" s="375"/>
      <c r="HL69" s="375"/>
      <c r="HM69" s="375"/>
      <c r="HN69" s="375"/>
      <c r="HO69" s="375"/>
      <c r="HP69" s="375"/>
      <c r="HQ69" s="375"/>
      <c r="HR69" s="375"/>
      <c r="HS69" s="375"/>
      <c r="HT69" s="375"/>
      <c r="HU69" s="375"/>
      <c r="HV69" s="375"/>
      <c r="HW69" s="375"/>
      <c r="HX69" s="375"/>
      <c r="HY69" s="375"/>
      <c r="HZ69" s="375"/>
      <c r="IA69" s="375"/>
      <c r="IB69" s="375"/>
      <c r="IC69" s="375"/>
      <c r="ID69" s="375"/>
      <c r="IE69" s="375"/>
      <c r="IF69" s="375"/>
      <c r="IG69" s="375"/>
      <c r="IH69" s="375"/>
      <c r="II69" s="375"/>
      <c r="IJ69" s="375"/>
      <c r="IK69" s="375"/>
      <c r="IL69" s="375"/>
      <c r="IM69" s="375"/>
      <c r="IN69" s="375"/>
      <c r="IO69" s="375"/>
      <c r="IP69" s="375"/>
      <c r="IQ69" s="375"/>
      <c r="IR69" s="375"/>
      <c r="IS69" s="375"/>
      <c r="IT69" s="375"/>
      <c r="IU69" s="375"/>
      <c r="IV69" s="375"/>
      <c r="IW69" s="375"/>
      <c r="IX69" s="375"/>
      <c r="IY69" s="375"/>
      <c r="IZ69" s="375"/>
      <c r="JA69" s="375"/>
      <c r="JB69" s="375"/>
      <c r="JC69" s="375"/>
      <c r="JD69" s="375"/>
      <c r="JE69" s="375"/>
      <c r="JF69" s="375"/>
      <c r="JG69" s="375"/>
      <c r="JH69" s="375"/>
      <c r="JI69" s="375"/>
      <c r="JJ69" s="375"/>
      <c r="JK69" s="375"/>
      <c r="JL69" s="375"/>
      <c r="JM69" s="375"/>
      <c r="JN69" s="375"/>
      <c r="JO69" s="375"/>
      <c r="JP69" s="375"/>
      <c r="JQ69" s="375"/>
      <c r="JR69" s="375"/>
      <c r="JS69" s="375"/>
      <c r="JT69" s="375"/>
      <c r="JU69" s="375"/>
      <c r="JV69" s="375"/>
      <c r="JW69" s="375"/>
      <c r="JX69" s="375"/>
      <c r="JY69" s="375"/>
      <c r="JZ69" s="375"/>
      <c r="KA69" s="375"/>
      <c r="KB69" s="375"/>
      <c r="KC69" s="375"/>
      <c r="KD69" s="375"/>
      <c r="KE69" s="375"/>
      <c r="KF69" s="375"/>
      <c r="KG69" s="375"/>
      <c r="KH69" s="375"/>
      <c r="KI69" s="375"/>
      <c r="KJ69" s="375"/>
      <c r="KK69" s="375"/>
      <c r="KL69" s="375"/>
      <c r="KM69" s="375"/>
      <c r="KN69" s="375"/>
      <c r="KO69" s="375"/>
      <c r="KP69" s="375"/>
      <c r="KQ69" s="375"/>
      <c r="KR69" s="375"/>
      <c r="KS69" s="375"/>
      <c r="KT69" s="375"/>
      <c r="KU69" s="375"/>
      <c r="KV69" s="375"/>
      <c r="KW69" s="375"/>
      <c r="KX69" s="375"/>
      <c r="KY69" s="375"/>
      <c r="KZ69" s="375"/>
      <c r="LA69" s="375"/>
      <c r="LB69" s="375"/>
      <c r="LC69" s="375"/>
      <c r="LD69" s="375"/>
      <c r="LE69" s="375"/>
      <c r="LF69" s="375"/>
      <c r="LG69" s="375"/>
      <c r="LH69" s="375"/>
      <c r="LI69" s="375"/>
      <c r="LJ69" s="375"/>
      <c r="LK69" s="375"/>
      <c r="LL69" s="375"/>
      <c r="LM69" s="375"/>
      <c r="LN69" s="375"/>
      <c r="LO69" s="375"/>
      <c r="LP69" s="375"/>
      <c r="LQ69" s="375"/>
    </row>
    <row r="70" spans="1:329" s="254" customFormat="1">
      <c r="A70" s="535"/>
      <c r="B70" s="260"/>
      <c r="C70" s="274"/>
      <c r="D70" s="500">
        <v>16</v>
      </c>
      <c r="E70" s="304" t="s">
        <v>381</v>
      </c>
      <c r="F70" s="466">
        <v>1</v>
      </c>
      <c r="G70" s="258" t="s">
        <v>361</v>
      </c>
      <c r="H70" s="254" t="s">
        <v>366</v>
      </c>
      <c r="I70" s="254" t="s">
        <v>323</v>
      </c>
      <c r="L70" s="255"/>
      <c r="M70" s="255"/>
      <c r="N70" s="375"/>
      <c r="O70" s="375"/>
      <c r="P70" s="375"/>
      <c r="Q70" s="375"/>
      <c r="R70" s="375"/>
      <c r="S70" s="375"/>
      <c r="T70" s="375"/>
      <c r="U70" s="375"/>
      <c r="V70" s="375"/>
      <c r="W70" s="375"/>
      <c r="X70" s="375"/>
      <c r="Y70" s="375"/>
      <c r="Z70" s="375"/>
      <c r="AA70" s="375"/>
      <c r="AB70" s="375"/>
      <c r="AC70" s="375"/>
      <c r="AD70" s="375"/>
      <c r="AE70" s="375"/>
      <c r="AF70" s="375"/>
      <c r="AG70" s="375"/>
      <c r="AH70" s="375"/>
      <c r="AI70" s="375"/>
      <c r="AJ70" s="375"/>
      <c r="AK70" s="375"/>
      <c r="AL70" s="375"/>
      <c r="AM70" s="375"/>
      <c r="AN70" s="375"/>
      <c r="AO70" s="375"/>
      <c r="AP70" s="375"/>
      <c r="AQ70" s="375"/>
      <c r="AR70" s="375"/>
      <c r="AS70" s="375"/>
      <c r="AT70" s="375"/>
      <c r="AU70" s="375"/>
      <c r="AV70" s="375"/>
      <c r="AW70" s="375"/>
      <c r="AX70" s="375"/>
      <c r="AY70" s="375"/>
      <c r="AZ70" s="375"/>
      <c r="BA70" s="375"/>
      <c r="BB70" s="375"/>
      <c r="BC70" s="375"/>
      <c r="BD70" s="375"/>
      <c r="BE70" s="375"/>
      <c r="BF70" s="375"/>
      <c r="BG70" s="375"/>
      <c r="BH70" s="375"/>
      <c r="BI70" s="375"/>
      <c r="BJ70" s="375"/>
      <c r="BK70" s="375"/>
      <c r="BL70" s="375"/>
      <c r="BM70" s="375"/>
      <c r="BN70" s="375"/>
      <c r="BO70" s="375"/>
      <c r="BP70" s="375"/>
      <c r="BQ70" s="375"/>
      <c r="BR70" s="375"/>
      <c r="BS70" s="375"/>
      <c r="BT70" s="375"/>
      <c r="BU70" s="375"/>
      <c r="BV70" s="375"/>
      <c r="BW70" s="375"/>
      <c r="BX70" s="375"/>
      <c r="BY70" s="375"/>
      <c r="BZ70" s="375"/>
      <c r="CA70" s="375"/>
      <c r="CB70" s="375"/>
      <c r="CC70" s="375"/>
      <c r="CD70" s="375"/>
      <c r="CE70" s="375"/>
      <c r="CF70" s="375"/>
      <c r="CG70" s="375"/>
      <c r="CH70" s="375"/>
      <c r="CI70" s="375"/>
      <c r="CJ70" s="375"/>
      <c r="CK70" s="375"/>
      <c r="CL70" s="375"/>
      <c r="CM70" s="375"/>
      <c r="CN70" s="375"/>
      <c r="CO70" s="375"/>
      <c r="CP70" s="375"/>
      <c r="CQ70" s="375"/>
      <c r="CR70" s="375"/>
      <c r="CS70" s="375"/>
      <c r="CT70" s="375"/>
      <c r="CU70" s="375"/>
      <c r="CV70" s="375"/>
      <c r="CW70" s="375"/>
      <c r="CX70" s="375"/>
      <c r="CY70" s="375"/>
      <c r="CZ70" s="375"/>
      <c r="DA70" s="375"/>
      <c r="DB70" s="375"/>
      <c r="DC70" s="375"/>
      <c r="DD70" s="375"/>
      <c r="DE70" s="375"/>
      <c r="DF70" s="375"/>
      <c r="DG70" s="375"/>
      <c r="DH70" s="375"/>
      <c r="DI70" s="375"/>
      <c r="DJ70" s="375"/>
      <c r="DK70" s="375"/>
      <c r="DL70" s="375"/>
      <c r="DM70" s="375"/>
      <c r="DN70" s="375"/>
      <c r="DO70" s="375"/>
      <c r="DP70" s="375"/>
      <c r="DQ70" s="375"/>
      <c r="DR70" s="375"/>
      <c r="DS70" s="375"/>
      <c r="DT70" s="375"/>
      <c r="DU70" s="375"/>
      <c r="DV70" s="375"/>
      <c r="DW70" s="375"/>
      <c r="DX70" s="375"/>
      <c r="DY70" s="375"/>
      <c r="DZ70" s="375"/>
      <c r="EA70" s="375"/>
      <c r="EB70" s="375"/>
      <c r="EC70" s="375"/>
      <c r="ED70" s="375"/>
      <c r="EE70" s="375"/>
      <c r="EF70" s="375"/>
      <c r="EG70" s="375"/>
      <c r="EH70" s="375"/>
      <c r="EI70" s="375"/>
      <c r="EJ70" s="375"/>
      <c r="EK70" s="375"/>
      <c r="EL70" s="375"/>
      <c r="EM70" s="375"/>
      <c r="EN70" s="375"/>
      <c r="EO70" s="375"/>
      <c r="EP70" s="375"/>
      <c r="EQ70" s="375"/>
      <c r="ER70" s="375"/>
      <c r="ES70" s="375"/>
      <c r="ET70" s="375"/>
      <c r="EU70" s="375"/>
      <c r="EV70" s="375"/>
      <c r="EW70" s="375"/>
      <c r="EX70" s="375"/>
      <c r="EY70" s="375"/>
      <c r="EZ70" s="375"/>
      <c r="FA70" s="375"/>
      <c r="FB70" s="375"/>
      <c r="FC70" s="375"/>
      <c r="FD70" s="375"/>
      <c r="FE70" s="375"/>
      <c r="FF70" s="375"/>
      <c r="FG70" s="375"/>
      <c r="FH70" s="375"/>
      <c r="FI70" s="375"/>
      <c r="FJ70" s="375"/>
      <c r="FK70" s="375"/>
      <c r="FL70" s="375"/>
      <c r="FM70" s="375"/>
      <c r="FN70" s="375"/>
      <c r="FO70" s="375"/>
      <c r="FP70" s="375"/>
      <c r="FQ70" s="375"/>
      <c r="FR70" s="375"/>
      <c r="FS70" s="375"/>
      <c r="FT70" s="375"/>
      <c r="FU70" s="375"/>
      <c r="FV70" s="375"/>
      <c r="FW70" s="375"/>
      <c r="FX70" s="375"/>
      <c r="FY70" s="375"/>
      <c r="FZ70" s="375"/>
      <c r="GA70" s="375"/>
      <c r="GB70" s="375"/>
      <c r="GC70" s="375"/>
      <c r="GD70" s="375"/>
      <c r="GE70" s="375"/>
      <c r="GF70" s="375"/>
      <c r="GG70" s="375"/>
      <c r="GH70" s="375"/>
      <c r="GI70" s="375"/>
      <c r="GJ70" s="375"/>
      <c r="GK70" s="375"/>
      <c r="GL70" s="375"/>
      <c r="GM70" s="375"/>
      <c r="GN70" s="375"/>
      <c r="GO70" s="375"/>
      <c r="GP70" s="375"/>
      <c r="GQ70" s="375"/>
      <c r="GR70" s="375"/>
      <c r="GS70" s="375"/>
      <c r="GT70" s="375"/>
      <c r="GU70" s="375"/>
      <c r="GV70" s="375"/>
      <c r="GW70" s="375"/>
      <c r="GX70" s="375"/>
      <c r="GY70" s="375"/>
      <c r="GZ70" s="375"/>
      <c r="HA70" s="375"/>
      <c r="HB70" s="375"/>
      <c r="HC70" s="375"/>
      <c r="HD70" s="375"/>
      <c r="HE70" s="375"/>
      <c r="HF70" s="375"/>
      <c r="HG70" s="375"/>
      <c r="HH70" s="375"/>
      <c r="HI70" s="375"/>
      <c r="HJ70" s="375"/>
      <c r="HK70" s="375"/>
      <c r="HL70" s="375"/>
      <c r="HM70" s="375"/>
      <c r="HN70" s="375"/>
      <c r="HO70" s="375"/>
      <c r="HP70" s="375"/>
      <c r="HQ70" s="375"/>
      <c r="HR70" s="375"/>
      <c r="HS70" s="375"/>
      <c r="HT70" s="375"/>
      <c r="HU70" s="375"/>
      <c r="HV70" s="375"/>
      <c r="HW70" s="375"/>
      <c r="HX70" s="375"/>
      <c r="HY70" s="375"/>
      <c r="HZ70" s="375"/>
      <c r="IA70" s="375"/>
      <c r="IB70" s="375"/>
      <c r="IC70" s="375"/>
      <c r="ID70" s="375"/>
      <c r="IE70" s="375"/>
      <c r="IF70" s="375"/>
      <c r="IG70" s="375"/>
      <c r="IH70" s="375"/>
      <c r="II70" s="375"/>
      <c r="IJ70" s="375"/>
      <c r="IK70" s="375"/>
      <c r="IL70" s="375"/>
      <c r="IM70" s="375"/>
      <c r="IN70" s="375"/>
      <c r="IO70" s="375"/>
      <c r="IP70" s="375"/>
      <c r="IQ70" s="375"/>
      <c r="IR70" s="375"/>
      <c r="IS70" s="375"/>
      <c r="IT70" s="375"/>
      <c r="IU70" s="375"/>
      <c r="IV70" s="375"/>
      <c r="IW70" s="375"/>
      <c r="IX70" s="375"/>
      <c r="IY70" s="375"/>
      <c r="IZ70" s="375"/>
      <c r="JA70" s="375"/>
      <c r="JB70" s="375"/>
      <c r="JC70" s="375"/>
      <c r="JD70" s="375"/>
      <c r="JE70" s="375"/>
      <c r="JF70" s="375"/>
      <c r="JG70" s="375"/>
      <c r="JH70" s="375"/>
      <c r="JI70" s="375"/>
      <c r="JJ70" s="375"/>
      <c r="JK70" s="375"/>
      <c r="JL70" s="375"/>
      <c r="JM70" s="375"/>
      <c r="JN70" s="375"/>
      <c r="JO70" s="375"/>
      <c r="JP70" s="375"/>
      <c r="JQ70" s="375"/>
      <c r="JR70" s="375"/>
      <c r="JS70" s="375"/>
      <c r="JT70" s="375"/>
      <c r="JU70" s="375"/>
      <c r="JV70" s="375"/>
      <c r="JW70" s="375"/>
      <c r="JX70" s="375"/>
      <c r="JY70" s="375"/>
      <c r="JZ70" s="375"/>
      <c r="KA70" s="375"/>
      <c r="KB70" s="375"/>
      <c r="KC70" s="375"/>
      <c r="KD70" s="375"/>
      <c r="KE70" s="375"/>
      <c r="KF70" s="375"/>
      <c r="KG70" s="375"/>
      <c r="KH70" s="375"/>
      <c r="KI70" s="375"/>
      <c r="KJ70" s="375"/>
      <c r="KK70" s="375"/>
      <c r="KL70" s="375"/>
      <c r="KM70" s="375"/>
      <c r="KN70" s="375"/>
      <c r="KO70" s="375"/>
      <c r="KP70" s="375"/>
      <c r="KQ70" s="375"/>
      <c r="KR70" s="375"/>
      <c r="KS70" s="375"/>
      <c r="KT70" s="375"/>
      <c r="KU70" s="375"/>
      <c r="KV70" s="375"/>
      <c r="KW70" s="375"/>
      <c r="KX70" s="375"/>
      <c r="KY70" s="375"/>
      <c r="KZ70" s="375"/>
      <c r="LA70" s="375"/>
      <c r="LB70" s="375"/>
      <c r="LC70" s="375"/>
      <c r="LD70" s="375"/>
      <c r="LE70" s="375"/>
      <c r="LF70" s="375"/>
      <c r="LG70" s="375"/>
      <c r="LH70" s="375"/>
      <c r="LI70" s="375"/>
      <c r="LJ70" s="375"/>
      <c r="LK70" s="375"/>
      <c r="LL70" s="375"/>
      <c r="LM70" s="375"/>
      <c r="LN70" s="375"/>
      <c r="LO70" s="375"/>
      <c r="LP70" s="375"/>
      <c r="LQ70" s="375"/>
    </row>
    <row r="71" spans="1:329" s="254" customFormat="1">
      <c r="A71" s="535"/>
      <c r="B71" s="260"/>
      <c r="C71" s="274"/>
      <c r="D71" s="500">
        <v>17</v>
      </c>
      <c r="E71" s="304" t="s">
        <v>382</v>
      </c>
      <c r="F71" s="466">
        <v>1</v>
      </c>
      <c r="G71" s="258" t="s">
        <v>361</v>
      </c>
      <c r="H71" s="254" t="s">
        <v>366</v>
      </c>
      <c r="I71" s="254" t="s">
        <v>323</v>
      </c>
      <c r="L71" s="255"/>
      <c r="M71" s="255"/>
      <c r="N71" s="375"/>
      <c r="O71" s="375"/>
      <c r="P71" s="375"/>
      <c r="Q71" s="375"/>
      <c r="R71" s="375"/>
      <c r="S71" s="375"/>
      <c r="T71" s="375"/>
      <c r="U71" s="375"/>
      <c r="V71" s="375"/>
      <c r="W71" s="375"/>
      <c r="X71" s="375"/>
      <c r="Y71" s="375"/>
      <c r="Z71" s="375"/>
      <c r="AA71" s="375"/>
      <c r="AB71" s="375"/>
      <c r="AC71" s="375"/>
      <c r="AD71" s="375"/>
      <c r="AE71" s="375"/>
      <c r="AF71" s="375"/>
      <c r="AG71" s="375"/>
      <c r="AH71" s="375"/>
      <c r="AI71" s="375"/>
      <c r="AJ71" s="375"/>
      <c r="AK71" s="375"/>
      <c r="AL71" s="375"/>
      <c r="AM71" s="375"/>
      <c r="AN71" s="375"/>
      <c r="AO71" s="375"/>
      <c r="AP71" s="375"/>
      <c r="AQ71" s="375"/>
      <c r="AR71" s="375"/>
      <c r="AS71" s="375"/>
      <c r="AT71" s="375"/>
      <c r="AU71" s="375"/>
      <c r="AV71" s="375"/>
      <c r="AW71" s="375"/>
      <c r="AX71" s="375"/>
      <c r="AY71" s="375"/>
      <c r="AZ71" s="375"/>
      <c r="BA71" s="375"/>
      <c r="BB71" s="375"/>
      <c r="BC71" s="375"/>
      <c r="BD71" s="375"/>
      <c r="BE71" s="375"/>
      <c r="BF71" s="375"/>
      <c r="BG71" s="375"/>
      <c r="BH71" s="375"/>
      <c r="BI71" s="375"/>
      <c r="BJ71" s="375"/>
      <c r="BK71" s="375"/>
      <c r="BL71" s="375"/>
      <c r="BM71" s="375"/>
      <c r="BN71" s="375"/>
      <c r="BO71" s="375"/>
      <c r="BP71" s="375"/>
      <c r="BQ71" s="375"/>
      <c r="BR71" s="375"/>
      <c r="BS71" s="375"/>
      <c r="BT71" s="375"/>
      <c r="BU71" s="375"/>
      <c r="BV71" s="375"/>
      <c r="BW71" s="375"/>
      <c r="BX71" s="375"/>
      <c r="BY71" s="375"/>
      <c r="BZ71" s="375"/>
      <c r="CA71" s="375"/>
      <c r="CB71" s="375"/>
      <c r="CC71" s="375"/>
      <c r="CD71" s="375"/>
      <c r="CE71" s="375"/>
      <c r="CF71" s="375"/>
      <c r="CG71" s="375"/>
      <c r="CH71" s="375"/>
      <c r="CI71" s="375"/>
      <c r="CJ71" s="375"/>
      <c r="CK71" s="375"/>
      <c r="CL71" s="375"/>
      <c r="CM71" s="375"/>
      <c r="CN71" s="375"/>
      <c r="CO71" s="375"/>
      <c r="CP71" s="375"/>
      <c r="CQ71" s="375"/>
      <c r="CR71" s="375"/>
      <c r="CS71" s="375"/>
      <c r="CT71" s="375"/>
      <c r="CU71" s="375"/>
      <c r="CV71" s="375"/>
      <c r="CW71" s="375"/>
      <c r="CX71" s="375"/>
      <c r="CY71" s="375"/>
      <c r="CZ71" s="375"/>
      <c r="DA71" s="375"/>
      <c r="DB71" s="375"/>
      <c r="DC71" s="375"/>
      <c r="DD71" s="375"/>
      <c r="DE71" s="375"/>
      <c r="DF71" s="375"/>
      <c r="DG71" s="375"/>
      <c r="DH71" s="375"/>
      <c r="DI71" s="375"/>
      <c r="DJ71" s="375"/>
      <c r="DK71" s="375"/>
      <c r="DL71" s="375"/>
      <c r="DM71" s="375"/>
      <c r="DN71" s="375"/>
      <c r="DO71" s="375"/>
      <c r="DP71" s="375"/>
      <c r="DQ71" s="375"/>
      <c r="DR71" s="375"/>
      <c r="DS71" s="375"/>
      <c r="DT71" s="375"/>
      <c r="DU71" s="375"/>
      <c r="DV71" s="375"/>
      <c r="DW71" s="375"/>
      <c r="DX71" s="375"/>
      <c r="DY71" s="375"/>
      <c r="DZ71" s="375"/>
      <c r="EA71" s="375"/>
      <c r="EB71" s="375"/>
      <c r="EC71" s="375"/>
      <c r="ED71" s="375"/>
      <c r="EE71" s="375"/>
      <c r="EF71" s="375"/>
      <c r="EG71" s="375"/>
      <c r="EH71" s="375"/>
      <c r="EI71" s="375"/>
      <c r="EJ71" s="375"/>
      <c r="EK71" s="375"/>
      <c r="EL71" s="375"/>
      <c r="EM71" s="375"/>
      <c r="EN71" s="375"/>
      <c r="EO71" s="375"/>
      <c r="EP71" s="375"/>
      <c r="EQ71" s="375"/>
      <c r="ER71" s="375"/>
      <c r="ES71" s="375"/>
      <c r="ET71" s="375"/>
      <c r="EU71" s="375"/>
      <c r="EV71" s="375"/>
      <c r="EW71" s="375"/>
      <c r="EX71" s="375"/>
      <c r="EY71" s="375"/>
      <c r="EZ71" s="375"/>
      <c r="FA71" s="375"/>
      <c r="FB71" s="375"/>
      <c r="FC71" s="375"/>
      <c r="FD71" s="375"/>
      <c r="FE71" s="375"/>
      <c r="FF71" s="375"/>
      <c r="FG71" s="375"/>
      <c r="FH71" s="375"/>
      <c r="FI71" s="375"/>
      <c r="FJ71" s="375"/>
      <c r="FK71" s="375"/>
      <c r="FL71" s="375"/>
      <c r="FM71" s="375"/>
      <c r="FN71" s="375"/>
      <c r="FO71" s="375"/>
      <c r="FP71" s="375"/>
      <c r="FQ71" s="375"/>
      <c r="FR71" s="375"/>
      <c r="FS71" s="375"/>
      <c r="FT71" s="375"/>
      <c r="FU71" s="375"/>
      <c r="FV71" s="375"/>
      <c r="FW71" s="375"/>
      <c r="FX71" s="375"/>
      <c r="FY71" s="375"/>
      <c r="FZ71" s="375"/>
      <c r="GA71" s="375"/>
      <c r="GB71" s="375"/>
      <c r="GC71" s="375"/>
      <c r="GD71" s="375"/>
      <c r="GE71" s="375"/>
      <c r="GF71" s="375"/>
      <c r="GG71" s="375"/>
      <c r="GH71" s="375"/>
      <c r="GI71" s="375"/>
      <c r="GJ71" s="375"/>
      <c r="GK71" s="375"/>
      <c r="GL71" s="375"/>
      <c r="GM71" s="375"/>
      <c r="GN71" s="375"/>
      <c r="GO71" s="375"/>
      <c r="GP71" s="375"/>
      <c r="GQ71" s="375"/>
      <c r="GR71" s="375"/>
      <c r="GS71" s="375"/>
      <c r="GT71" s="375"/>
      <c r="GU71" s="375"/>
      <c r="GV71" s="375"/>
      <c r="GW71" s="375"/>
      <c r="GX71" s="375"/>
      <c r="GY71" s="375"/>
      <c r="GZ71" s="375"/>
      <c r="HA71" s="375"/>
      <c r="HB71" s="375"/>
      <c r="HC71" s="375"/>
      <c r="HD71" s="375"/>
      <c r="HE71" s="375"/>
      <c r="HF71" s="375"/>
      <c r="HG71" s="375"/>
      <c r="HH71" s="375"/>
      <c r="HI71" s="375"/>
      <c r="HJ71" s="375"/>
      <c r="HK71" s="375"/>
      <c r="HL71" s="375"/>
      <c r="HM71" s="375"/>
      <c r="HN71" s="375"/>
      <c r="HO71" s="375"/>
      <c r="HP71" s="375"/>
      <c r="HQ71" s="375"/>
      <c r="HR71" s="375"/>
      <c r="HS71" s="375"/>
      <c r="HT71" s="375"/>
      <c r="HU71" s="375"/>
      <c r="HV71" s="375"/>
      <c r="HW71" s="375"/>
      <c r="HX71" s="375"/>
      <c r="HY71" s="375"/>
      <c r="HZ71" s="375"/>
      <c r="IA71" s="375"/>
      <c r="IB71" s="375"/>
      <c r="IC71" s="375"/>
      <c r="ID71" s="375"/>
      <c r="IE71" s="375"/>
      <c r="IF71" s="375"/>
      <c r="IG71" s="375"/>
      <c r="IH71" s="375"/>
      <c r="II71" s="375"/>
      <c r="IJ71" s="375"/>
      <c r="IK71" s="375"/>
      <c r="IL71" s="375"/>
      <c r="IM71" s="375"/>
      <c r="IN71" s="375"/>
      <c r="IO71" s="375"/>
      <c r="IP71" s="375"/>
      <c r="IQ71" s="375"/>
      <c r="IR71" s="375"/>
      <c r="IS71" s="375"/>
      <c r="IT71" s="375"/>
      <c r="IU71" s="375"/>
      <c r="IV71" s="375"/>
      <c r="IW71" s="375"/>
      <c r="IX71" s="375"/>
      <c r="IY71" s="375"/>
      <c r="IZ71" s="375"/>
      <c r="JA71" s="375"/>
      <c r="JB71" s="375"/>
      <c r="JC71" s="375"/>
      <c r="JD71" s="375"/>
      <c r="JE71" s="375"/>
      <c r="JF71" s="375"/>
      <c r="JG71" s="375"/>
      <c r="JH71" s="375"/>
      <c r="JI71" s="375"/>
      <c r="JJ71" s="375"/>
      <c r="JK71" s="375"/>
      <c r="JL71" s="375"/>
      <c r="JM71" s="375"/>
      <c r="JN71" s="375"/>
      <c r="JO71" s="375"/>
      <c r="JP71" s="375"/>
      <c r="JQ71" s="375"/>
      <c r="JR71" s="375"/>
      <c r="JS71" s="375"/>
      <c r="JT71" s="375"/>
      <c r="JU71" s="375"/>
      <c r="JV71" s="375"/>
      <c r="JW71" s="375"/>
      <c r="JX71" s="375"/>
      <c r="JY71" s="375"/>
      <c r="JZ71" s="375"/>
      <c r="KA71" s="375"/>
      <c r="KB71" s="375"/>
      <c r="KC71" s="375"/>
      <c r="KD71" s="375"/>
      <c r="KE71" s="375"/>
      <c r="KF71" s="375"/>
      <c r="KG71" s="375"/>
      <c r="KH71" s="375"/>
      <c r="KI71" s="375"/>
      <c r="KJ71" s="375"/>
      <c r="KK71" s="375"/>
      <c r="KL71" s="375"/>
      <c r="KM71" s="375"/>
      <c r="KN71" s="375"/>
      <c r="KO71" s="375"/>
      <c r="KP71" s="375"/>
      <c r="KQ71" s="375"/>
      <c r="KR71" s="375"/>
      <c r="KS71" s="375"/>
      <c r="KT71" s="375"/>
      <c r="KU71" s="375"/>
      <c r="KV71" s="375"/>
      <c r="KW71" s="375"/>
      <c r="KX71" s="375"/>
      <c r="KY71" s="375"/>
      <c r="KZ71" s="375"/>
      <c r="LA71" s="375"/>
      <c r="LB71" s="375"/>
      <c r="LC71" s="375"/>
      <c r="LD71" s="375"/>
      <c r="LE71" s="375"/>
      <c r="LF71" s="375"/>
      <c r="LG71" s="375"/>
      <c r="LH71" s="375"/>
      <c r="LI71" s="375"/>
      <c r="LJ71" s="375"/>
      <c r="LK71" s="375"/>
      <c r="LL71" s="375"/>
      <c r="LM71" s="375"/>
      <c r="LN71" s="375"/>
      <c r="LO71" s="375"/>
      <c r="LP71" s="375"/>
      <c r="LQ71" s="375"/>
    </row>
    <row r="72" spans="1:329">
      <c r="A72" s="535"/>
      <c r="B72" s="260"/>
      <c r="C72" s="274"/>
      <c r="D72" s="500">
        <v>18</v>
      </c>
      <c r="E72" s="304" t="s">
        <v>383</v>
      </c>
      <c r="F72" s="466">
        <v>1</v>
      </c>
      <c r="G72" s="258" t="s">
        <v>361</v>
      </c>
      <c r="H72" s="254" t="s">
        <v>366</v>
      </c>
      <c r="I72" s="254" t="s">
        <v>323</v>
      </c>
    </row>
    <row r="73" spans="1:329">
      <c r="A73" s="535"/>
      <c r="B73" s="260"/>
      <c r="C73" s="274"/>
      <c r="D73" s="500">
        <v>19</v>
      </c>
      <c r="E73" s="304" t="s">
        <v>384</v>
      </c>
      <c r="F73" s="466">
        <v>1</v>
      </c>
      <c r="G73" s="258" t="s">
        <v>361</v>
      </c>
      <c r="H73" s="254" t="s">
        <v>366</v>
      </c>
      <c r="I73" s="254" t="s">
        <v>323</v>
      </c>
    </row>
    <row r="74" spans="1:329">
      <c r="A74" s="533"/>
      <c r="B74" s="294" t="s">
        <v>385</v>
      </c>
      <c r="C74" s="277"/>
      <c r="D74" s="503" t="str">
        <f>HYPERLINK("#"&amp;"HPSBII.4_Ref","On-Site Renewable Energy (HPSB GP2)")</f>
        <v>On-Site Renewable Energy (HPSB GP2)</v>
      </c>
      <c r="E74" s="284"/>
      <c r="F74" s="465" t="s">
        <v>386</v>
      </c>
      <c r="G74" s="258" t="s">
        <v>361</v>
      </c>
    </row>
    <row r="75" spans="1:329">
      <c r="A75" s="535"/>
      <c r="B75" s="260"/>
      <c r="C75" s="277"/>
      <c r="D75" s="500">
        <v>1</v>
      </c>
      <c r="E75" s="304" t="s">
        <v>387</v>
      </c>
      <c r="F75" s="466">
        <v>1</v>
      </c>
      <c r="G75" s="258" t="s">
        <v>361</v>
      </c>
      <c r="H75" s="254" t="s">
        <v>388</v>
      </c>
      <c r="I75" s="254" t="s">
        <v>385</v>
      </c>
    </row>
    <row r="76" spans="1:329">
      <c r="A76" s="535"/>
      <c r="B76" s="260"/>
      <c r="C76" s="277"/>
      <c r="D76" s="500">
        <v>2</v>
      </c>
      <c r="E76" s="304" t="s">
        <v>389</v>
      </c>
      <c r="F76" s="466">
        <v>1</v>
      </c>
      <c r="G76" s="258" t="s">
        <v>361</v>
      </c>
      <c r="H76" s="254" t="s">
        <v>388</v>
      </c>
      <c r="I76" s="254" t="s">
        <v>385</v>
      </c>
    </row>
    <row r="77" spans="1:329">
      <c r="A77" s="535"/>
      <c r="B77" s="260"/>
      <c r="C77" s="277"/>
      <c r="D77" s="500">
        <v>3</v>
      </c>
      <c r="E77" s="304" t="s">
        <v>390</v>
      </c>
      <c r="F77" s="466">
        <v>1</v>
      </c>
      <c r="G77" s="258" t="s">
        <v>361</v>
      </c>
      <c r="H77" s="254" t="s">
        <v>388</v>
      </c>
      <c r="I77" s="254" t="s">
        <v>385</v>
      </c>
    </row>
    <row r="78" spans="1:329">
      <c r="A78" s="535"/>
      <c r="B78" s="260"/>
      <c r="C78" s="277"/>
      <c r="D78" s="500">
        <v>4</v>
      </c>
      <c r="E78" s="304" t="s">
        <v>391</v>
      </c>
      <c r="F78" s="466">
        <v>1</v>
      </c>
      <c r="G78" s="258" t="s">
        <v>361</v>
      </c>
      <c r="H78" s="254" t="s">
        <v>388</v>
      </c>
      <c r="I78" s="254" t="s">
        <v>385</v>
      </c>
    </row>
    <row r="79" spans="1:329">
      <c r="A79" s="535"/>
      <c r="B79" s="260"/>
      <c r="C79" s="277"/>
      <c r="D79" s="500">
        <v>5</v>
      </c>
      <c r="E79" s="304" t="s">
        <v>392</v>
      </c>
      <c r="F79" s="466">
        <v>1</v>
      </c>
      <c r="G79" s="258" t="s">
        <v>361</v>
      </c>
      <c r="H79" s="254" t="s">
        <v>388</v>
      </c>
      <c r="I79" s="254" t="s">
        <v>385</v>
      </c>
    </row>
    <row r="80" spans="1:329">
      <c r="A80" s="535"/>
      <c r="B80" s="260"/>
      <c r="C80" s="277"/>
      <c r="D80" s="500">
        <v>6</v>
      </c>
      <c r="E80" s="304" t="s">
        <v>393</v>
      </c>
      <c r="F80" s="466">
        <v>1</v>
      </c>
      <c r="G80" s="258" t="s">
        <v>361</v>
      </c>
      <c r="H80" s="254" t="s">
        <v>388</v>
      </c>
      <c r="I80" s="254" t="s">
        <v>385</v>
      </c>
    </row>
    <row r="81" spans="1:329">
      <c r="A81" s="535"/>
      <c r="B81" s="260"/>
      <c r="C81" s="277"/>
      <c r="D81" s="500">
        <v>7</v>
      </c>
      <c r="E81" s="304" t="s">
        <v>394</v>
      </c>
      <c r="F81" s="466">
        <v>1</v>
      </c>
      <c r="G81" s="258" t="s">
        <v>361</v>
      </c>
      <c r="H81" s="254" t="s">
        <v>388</v>
      </c>
      <c r="I81" s="254" t="s">
        <v>385</v>
      </c>
    </row>
    <row r="82" spans="1:329">
      <c r="A82" s="530" t="s">
        <v>465</v>
      </c>
      <c r="B82" s="294" t="s">
        <v>327</v>
      </c>
      <c r="C82" s="277"/>
      <c r="D82" s="810" t="str">
        <f>HYPERLINK("#"&amp;"HPSBI.2_Ref","Enhanced Commissioning (HPSB GP1)")</f>
        <v>Enhanced Commissioning (HPSB GP1)</v>
      </c>
      <c r="E82" s="807"/>
      <c r="F82" s="462">
        <v>2</v>
      </c>
      <c r="G82" s="258" t="s">
        <v>361</v>
      </c>
    </row>
    <row r="83" spans="1:329">
      <c r="A83" s="530" t="s">
        <v>465</v>
      </c>
      <c r="B83" s="277" t="s">
        <v>395</v>
      </c>
      <c r="C83" s="277"/>
      <c r="D83" s="810" t="str">
        <f>HYPERLINK("#"&amp;"HPSBV.6_Ref","Enhanced Refrigerant Management (HPSB GP5)")</f>
        <v>Enhanced Refrigerant Management (HPSB GP5)</v>
      </c>
      <c r="E83" s="807"/>
      <c r="F83" s="462">
        <v>2</v>
      </c>
      <c r="G83" s="258" t="s">
        <v>361</v>
      </c>
    </row>
    <row r="84" spans="1:329">
      <c r="A84" s="530" t="s">
        <v>501</v>
      </c>
      <c r="B84" s="294" t="s">
        <v>396</v>
      </c>
      <c r="C84" s="277"/>
      <c r="D84" s="810" t="str">
        <f>HYPERLINK("#"&amp;"HPSBII.5_Ref","Measurement &amp; Verification (HPSB GP2)")</f>
        <v>Measurement &amp; Verification (HPSB GP2)</v>
      </c>
      <c r="E84" s="807"/>
      <c r="F84" s="462">
        <v>3</v>
      </c>
      <c r="G84" s="258" t="s">
        <v>361</v>
      </c>
    </row>
    <row r="85" spans="1:329">
      <c r="A85" s="530" t="s">
        <v>500</v>
      </c>
      <c r="B85" s="294" t="s">
        <v>397</v>
      </c>
      <c r="C85" s="278"/>
      <c r="D85" s="818" t="s">
        <v>398</v>
      </c>
      <c r="E85" s="808"/>
      <c r="F85" s="463">
        <v>2</v>
      </c>
      <c r="G85" s="258" t="s">
        <v>361</v>
      </c>
    </row>
    <row r="86" spans="1:329" s="259" customFormat="1">
      <c r="A86" s="527" t="s">
        <v>399</v>
      </c>
      <c r="B86" s="288"/>
      <c r="C86" s="288"/>
      <c r="D86" s="492"/>
      <c r="E86" s="272"/>
      <c r="F86" s="468"/>
      <c r="G86" s="258"/>
      <c r="H86" s="254"/>
      <c r="I86" s="254"/>
      <c r="J86" s="254"/>
      <c r="K86" s="254"/>
      <c r="N86" s="374"/>
      <c r="O86" s="374"/>
      <c r="P86" s="374"/>
      <c r="Q86" s="374"/>
      <c r="R86" s="374"/>
      <c r="S86" s="374"/>
      <c r="T86" s="374"/>
      <c r="U86" s="374"/>
      <c r="V86" s="374"/>
      <c r="W86" s="374"/>
      <c r="X86" s="374"/>
      <c r="Y86" s="374"/>
      <c r="Z86" s="374"/>
      <c r="AA86" s="374"/>
      <c r="AB86" s="374"/>
      <c r="AC86" s="374"/>
      <c r="AD86" s="374"/>
      <c r="AE86" s="374"/>
      <c r="AF86" s="374"/>
      <c r="AG86" s="374"/>
      <c r="AH86" s="374"/>
      <c r="AI86" s="374"/>
      <c r="AJ86" s="374"/>
      <c r="AK86" s="374"/>
      <c r="AL86" s="374"/>
      <c r="AM86" s="374"/>
      <c r="AN86" s="374"/>
      <c r="AO86" s="374"/>
      <c r="AP86" s="374"/>
      <c r="AQ86" s="374"/>
      <c r="AR86" s="374"/>
      <c r="AS86" s="374"/>
      <c r="AT86" s="374"/>
      <c r="AU86" s="374"/>
      <c r="AV86" s="374"/>
      <c r="AW86" s="374"/>
      <c r="AX86" s="374"/>
      <c r="AY86" s="374"/>
      <c r="AZ86" s="374"/>
      <c r="BA86" s="374"/>
      <c r="BB86" s="374"/>
      <c r="BC86" s="374"/>
      <c r="BD86" s="374"/>
      <c r="BE86" s="374"/>
      <c r="BF86" s="374"/>
      <c r="BG86" s="374"/>
      <c r="BH86" s="374"/>
      <c r="BI86" s="374"/>
      <c r="BJ86" s="374"/>
      <c r="BK86" s="374"/>
      <c r="BL86" s="374"/>
      <c r="BM86" s="374"/>
      <c r="BN86" s="374"/>
      <c r="BO86" s="374"/>
      <c r="BP86" s="374"/>
      <c r="BQ86" s="374"/>
      <c r="BR86" s="374"/>
      <c r="BS86" s="374"/>
      <c r="BT86" s="374"/>
      <c r="BU86" s="374"/>
      <c r="BV86" s="374"/>
      <c r="BW86" s="374"/>
      <c r="BX86" s="374"/>
      <c r="BY86" s="374"/>
      <c r="BZ86" s="374"/>
      <c r="CA86" s="374"/>
      <c r="CB86" s="374"/>
      <c r="CC86" s="374"/>
      <c r="CD86" s="374"/>
      <c r="CE86" s="374"/>
      <c r="CF86" s="374"/>
      <c r="CG86" s="374"/>
      <c r="CH86" s="374"/>
      <c r="CI86" s="374"/>
      <c r="CJ86" s="374"/>
      <c r="CK86" s="374"/>
      <c r="CL86" s="374"/>
      <c r="CM86" s="374"/>
      <c r="CN86" s="374"/>
      <c r="CO86" s="374"/>
      <c r="CP86" s="374"/>
      <c r="CQ86" s="374"/>
      <c r="CR86" s="374"/>
      <c r="CS86" s="374"/>
      <c r="CT86" s="374"/>
      <c r="CU86" s="374"/>
      <c r="CV86" s="374"/>
      <c r="CW86" s="374"/>
      <c r="CX86" s="374"/>
      <c r="CY86" s="374"/>
      <c r="CZ86" s="374"/>
      <c r="DA86" s="374"/>
      <c r="DB86" s="374"/>
      <c r="DC86" s="374"/>
      <c r="DD86" s="374"/>
      <c r="DE86" s="374"/>
      <c r="DF86" s="374"/>
      <c r="DG86" s="374"/>
      <c r="DH86" s="374"/>
      <c r="DI86" s="374"/>
      <c r="DJ86" s="374"/>
      <c r="DK86" s="374"/>
      <c r="DL86" s="374"/>
      <c r="DM86" s="374"/>
      <c r="DN86" s="374"/>
      <c r="DO86" s="374"/>
      <c r="DP86" s="374"/>
      <c r="DQ86" s="374"/>
      <c r="DR86" s="374"/>
      <c r="DS86" s="374"/>
      <c r="DT86" s="374"/>
      <c r="DU86" s="374"/>
      <c r="DV86" s="374"/>
      <c r="DW86" s="374"/>
      <c r="DX86" s="374"/>
      <c r="DY86" s="374"/>
      <c r="DZ86" s="374"/>
      <c r="EA86" s="374"/>
      <c r="EB86" s="374"/>
      <c r="EC86" s="374"/>
      <c r="ED86" s="374"/>
      <c r="EE86" s="374"/>
      <c r="EF86" s="374"/>
      <c r="EG86" s="374"/>
      <c r="EH86" s="374"/>
      <c r="EI86" s="374"/>
      <c r="EJ86" s="374"/>
      <c r="EK86" s="374"/>
      <c r="EL86" s="374"/>
      <c r="EM86" s="374"/>
      <c r="EN86" s="374"/>
      <c r="EO86" s="374"/>
      <c r="EP86" s="374"/>
      <c r="EQ86" s="374"/>
      <c r="ER86" s="374"/>
      <c r="ES86" s="374"/>
      <c r="ET86" s="374"/>
      <c r="EU86" s="374"/>
      <c r="EV86" s="374"/>
      <c r="EW86" s="374"/>
      <c r="EX86" s="374"/>
      <c r="EY86" s="374"/>
      <c r="EZ86" s="374"/>
      <c r="FA86" s="374"/>
      <c r="FB86" s="374"/>
      <c r="FC86" s="374"/>
      <c r="FD86" s="374"/>
      <c r="FE86" s="374"/>
      <c r="FF86" s="374"/>
      <c r="FG86" s="374"/>
      <c r="FH86" s="374"/>
      <c r="FI86" s="374"/>
      <c r="FJ86" s="374"/>
      <c r="FK86" s="374"/>
      <c r="FL86" s="374"/>
      <c r="FM86" s="374"/>
      <c r="FN86" s="374"/>
      <c r="FO86" s="374"/>
      <c r="FP86" s="374"/>
      <c r="FQ86" s="374"/>
      <c r="FR86" s="374"/>
      <c r="FS86" s="374"/>
      <c r="FT86" s="374"/>
      <c r="FU86" s="374"/>
      <c r="FV86" s="374"/>
      <c r="FW86" s="374"/>
      <c r="FX86" s="374"/>
      <c r="FY86" s="374"/>
      <c r="FZ86" s="374"/>
      <c r="GA86" s="374"/>
      <c r="GB86" s="374"/>
      <c r="GC86" s="374"/>
      <c r="GD86" s="374"/>
      <c r="GE86" s="374"/>
      <c r="GF86" s="374"/>
      <c r="GG86" s="374"/>
      <c r="GH86" s="374"/>
      <c r="GI86" s="374"/>
      <c r="GJ86" s="374"/>
      <c r="GK86" s="374"/>
      <c r="GL86" s="374"/>
      <c r="GM86" s="374"/>
      <c r="GN86" s="374"/>
      <c r="GO86" s="374"/>
      <c r="GP86" s="374"/>
      <c r="GQ86" s="374"/>
      <c r="GR86" s="374"/>
      <c r="GS86" s="374"/>
      <c r="GT86" s="374"/>
      <c r="GU86" s="374"/>
      <c r="GV86" s="374"/>
      <c r="GW86" s="374"/>
      <c r="GX86" s="374"/>
      <c r="GY86" s="374"/>
      <c r="GZ86" s="374"/>
      <c r="HA86" s="374"/>
      <c r="HB86" s="374"/>
      <c r="HC86" s="374"/>
      <c r="HD86" s="374"/>
      <c r="HE86" s="374"/>
      <c r="HF86" s="374"/>
      <c r="HG86" s="374"/>
      <c r="HH86" s="374"/>
      <c r="HI86" s="374"/>
      <c r="HJ86" s="374"/>
      <c r="HK86" s="374"/>
      <c r="HL86" s="374"/>
      <c r="HM86" s="374"/>
      <c r="HN86" s="374"/>
      <c r="HO86" s="374"/>
      <c r="HP86" s="374"/>
      <c r="HQ86" s="374"/>
      <c r="HR86" s="374"/>
      <c r="HS86" s="374"/>
      <c r="HT86" s="374"/>
      <c r="HU86" s="374"/>
      <c r="HV86" s="374"/>
      <c r="HW86" s="374"/>
      <c r="HX86" s="374"/>
      <c r="HY86" s="374"/>
      <c r="HZ86" s="374"/>
      <c r="IA86" s="374"/>
      <c r="IB86" s="374"/>
      <c r="IC86" s="374"/>
      <c r="ID86" s="374"/>
      <c r="IE86" s="374"/>
      <c r="IF86" s="374"/>
      <c r="IG86" s="374"/>
      <c r="IH86" s="374"/>
      <c r="II86" s="374"/>
      <c r="IJ86" s="374"/>
      <c r="IK86" s="374"/>
      <c r="IL86" s="374"/>
      <c r="IM86" s="374"/>
      <c r="IN86" s="374"/>
      <c r="IO86" s="374"/>
      <c r="IP86" s="374"/>
      <c r="IQ86" s="374"/>
      <c r="IR86" s="374"/>
      <c r="IS86" s="374"/>
      <c r="IT86" s="374"/>
      <c r="IU86" s="374"/>
      <c r="IV86" s="374"/>
      <c r="IW86" s="374"/>
      <c r="IX86" s="374"/>
      <c r="IY86" s="374"/>
      <c r="IZ86" s="374"/>
      <c r="JA86" s="374"/>
      <c r="JB86" s="374"/>
      <c r="JC86" s="374"/>
      <c r="JD86" s="374"/>
      <c r="JE86" s="374"/>
      <c r="JF86" s="374"/>
      <c r="JG86" s="374"/>
      <c r="JH86" s="374"/>
      <c r="JI86" s="374"/>
      <c r="JJ86" s="374"/>
      <c r="JK86" s="374"/>
      <c r="JL86" s="374"/>
      <c r="JM86" s="374"/>
      <c r="JN86" s="374"/>
      <c r="JO86" s="374"/>
      <c r="JP86" s="374"/>
      <c r="JQ86" s="374"/>
      <c r="JR86" s="374"/>
      <c r="JS86" s="374"/>
      <c r="JT86" s="374"/>
      <c r="JU86" s="374"/>
      <c r="JV86" s="374"/>
      <c r="JW86" s="374"/>
      <c r="JX86" s="374"/>
      <c r="JY86" s="374"/>
      <c r="JZ86" s="374"/>
      <c r="KA86" s="374"/>
      <c r="KB86" s="374"/>
      <c r="KC86" s="374"/>
      <c r="KD86" s="374"/>
      <c r="KE86" s="374"/>
      <c r="KF86" s="374"/>
      <c r="KG86" s="374"/>
      <c r="KH86" s="374"/>
      <c r="KI86" s="374"/>
      <c r="KJ86" s="374"/>
      <c r="KK86" s="374"/>
      <c r="KL86" s="374"/>
      <c r="KM86" s="374"/>
      <c r="KN86" s="374"/>
      <c r="KO86" s="374"/>
      <c r="KP86" s="374"/>
      <c r="KQ86" s="374"/>
      <c r="KR86" s="374"/>
      <c r="KS86" s="374"/>
      <c r="KT86" s="374"/>
      <c r="KU86" s="374"/>
      <c r="KV86" s="374"/>
      <c r="KW86" s="374"/>
      <c r="KX86" s="374"/>
      <c r="KY86" s="374"/>
      <c r="KZ86" s="374"/>
      <c r="LA86" s="374"/>
      <c r="LB86" s="374"/>
      <c r="LC86" s="374"/>
      <c r="LD86" s="374"/>
      <c r="LE86" s="374"/>
      <c r="LF86" s="374"/>
      <c r="LG86" s="374"/>
      <c r="LH86" s="374"/>
      <c r="LI86" s="374"/>
      <c r="LJ86" s="374"/>
      <c r="LK86" s="374"/>
      <c r="LL86" s="374"/>
      <c r="LM86" s="374"/>
      <c r="LN86" s="374"/>
      <c r="LO86" s="374"/>
      <c r="LP86" s="374"/>
      <c r="LQ86" s="374"/>
    </row>
    <row r="87" spans="1:329" s="259" customFormat="1">
      <c r="A87" s="528" t="s">
        <v>243</v>
      </c>
      <c r="B87" s="719">
        <f>SUM(A89, IF(A93="Yes",F93,0),A94,A97,A100,A103,IF(A106="Yes",F106,0),IF(A107="Yes",F107,0))</f>
        <v>7</v>
      </c>
      <c r="C87" s="290"/>
      <c r="D87" s="493"/>
      <c r="E87" s="270" t="s">
        <v>244</v>
      </c>
      <c r="F87" s="460">
        <f>SUM(F90:F96,F98:F102,F104:F107)</f>
        <v>14</v>
      </c>
      <c r="G87" s="258"/>
      <c r="H87" s="254"/>
      <c r="I87" s="254"/>
      <c r="J87" s="254"/>
      <c r="K87" s="254"/>
      <c r="N87" s="374"/>
      <c r="O87" s="374"/>
      <c r="P87" s="374"/>
      <c r="Q87" s="374"/>
      <c r="R87" s="374"/>
      <c r="S87" s="374"/>
      <c r="T87" s="374"/>
      <c r="U87" s="374"/>
      <c r="V87" s="374"/>
      <c r="W87" s="374"/>
      <c r="X87" s="374"/>
      <c r="Y87" s="374"/>
      <c r="Z87" s="374"/>
      <c r="AA87" s="374"/>
      <c r="AB87" s="374"/>
      <c r="AC87" s="374"/>
      <c r="AD87" s="374"/>
      <c r="AE87" s="374"/>
      <c r="AF87" s="374"/>
      <c r="AG87" s="374"/>
      <c r="AH87" s="374"/>
      <c r="AI87" s="374"/>
      <c r="AJ87" s="374"/>
      <c r="AK87" s="374"/>
      <c r="AL87" s="374"/>
      <c r="AM87" s="374"/>
      <c r="AN87" s="374"/>
      <c r="AO87" s="374"/>
      <c r="AP87" s="374"/>
      <c r="AQ87" s="374"/>
      <c r="AR87" s="374"/>
      <c r="AS87" s="374"/>
      <c r="AT87" s="374"/>
      <c r="AU87" s="374"/>
      <c r="AV87" s="374"/>
      <c r="AW87" s="374"/>
      <c r="AX87" s="374"/>
      <c r="AY87" s="374"/>
      <c r="AZ87" s="374"/>
      <c r="BA87" s="374"/>
      <c r="BB87" s="374"/>
      <c r="BC87" s="374"/>
      <c r="BD87" s="374"/>
      <c r="BE87" s="374"/>
      <c r="BF87" s="374"/>
      <c r="BG87" s="374"/>
      <c r="BH87" s="374"/>
      <c r="BI87" s="374"/>
      <c r="BJ87" s="374"/>
      <c r="BK87" s="374"/>
      <c r="BL87" s="374"/>
      <c r="BM87" s="374"/>
      <c r="BN87" s="374"/>
      <c r="BO87" s="374"/>
      <c r="BP87" s="374"/>
      <c r="BQ87" s="374"/>
      <c r="BR87" s="374"/>
      <c r="BS87" s="374"/>
      <c r="BT87" s="374"/>
      <c r="BU87" s="374"/>
      <c r="BV87" s="374"/>
      <c r="BW87" s="374"/>
      <c r="BX87" s="374"/>
      <c r="BY87" s="374"/>
      <c r="BZ87" s="374"/>
      <c r="CA87" s="374"/>
      <c r="CB87" s="374"/>
      <c r="CC87" s="374"/>
      <c r="CD87" s="374"/>
      <c r="CE87" s="374"/>
      <c r="CF87" s="374"/>
      <c r="CG87" s="374"/>
      <c r="CH87" s="374"/>
      <c r="CI87" s="374"/>
      <c r="CJ87" s="374"/>
      <c r="CK87" s="374"/>
      <c r="CL87" s="374"/>
      <c r="CM87" s="374"/>
      <c r="CN87" s="374"/>
      <c r="CO87" s="374"/>
      <c r="CP87" s="374"/>
      <c r="CQ87" s="374"/>
      <c r="CR87" s="374"/>
      <c r="CS87" s="374"/>
      <c r="CT87" s="374"/>
      <c r="CU87" s="374"/>
      <c r="CV87" s="374"/>
      <c r="CW87" s="374"/>
      <c r="CX87" s="374"/>
      <c r="CY87" s="374"/>
      <c r="CZ87" s="374"/>
      <c r="DA87" s="374"/>
      <c r="DB87" s="374"/>
      <c r="DC87" s="374"/>
      <c r="DD87" s="374"/>
      <c r="DE87" s="374"/>
      <c r="DF87" s="374"/>
      <c r="DG87" s="374"/>
      <c r="DH87" s="374"/>
      <c r="DI87" s="374"/>
      <c r="DJ87" s="374"/>
      <c r="DK87" s="374"/>
      <c r="DL87" s="374"/>
      <c r="DM87" s="374"/>
      <c r="DN87" s="374"/>
      <c r="DO87" s="374"/>
      <c r="DP87" s="374"/>
      <c r="DQ87" s="374"/>
      <c r="DR87" s="374"/>
      <c r="DS87" s="374"/>
      <c r="DT87" s="374"/>
      <c r="DU87" s="374"/>
      <c r="DV87" s="374"/>
      <c r="DW87" s="374"/>
      <c r="DX87" s="374"/>
      <c r="DY87" s="374"/>
      <c r="DZ87" s="374"/>
      <c r="EA87" s="374"/>
      <c r="EB87" s="374"/>
      <c r="EC87" s="374"/>
      <c r="ED87" s="374"/>
      <c r="EE87" s="374"/>
      <c r="EF87" s="374"/>
      <c r="EG87" s="374"/>
      <c r="EH87" s="374"/>
      <c r="EI87" s="374"/>
      <c r="EJ87" s="374"/>
      <c r="EK87" s="374"/>
      <c r="EL87" s="374"/>
      <c r="EM87" s="374"/>
      <c r="EN87" s="374"/>
      <c r="EO87" s="374"/>
      <c r="EP87" s="374"/>
      <c r="EQ87" s="374"/>
      <c r="ER87" s="374"/>
      <c r="ES87" s="374"/>
      <c r="ET87" s="374"/>
      <c r="EU87" s="374"/>
      <c r="EV87" s="374"/>
      <c r="EW87" s="374"/>
      <c r="EX87" s="374"/>
      <c r="EY87" s="374"/>
      <c r="EZ87" s="374"/>
      <c r="FA87" s="374"/>
      <c r="FB87" s="374"/>
      <c r="FC87" s="374"/>
      <c r="FD87" s="374"/>
      <c r="FE87" s="374"/>
      <c r="FF87" s="374"/>
      <c r="FG87" s="374"/>
      <c r="FH87" s="374"/>
      <c r="FI87" s="374"/>
      <c r="FJ87" s="374"/>
      <c r="FK87" s="374"/>
      <c r="FL87" s="374"/>
      <c r="FM87" s="374"/>
      <c r="FN87" s="374"/>
      <c r="FO87" s="374"/>
      <c r="FP87" s="374"/>
      <c r="FQ87" s="374"/>
      <c r="FR87" s="374"/>
      <c r="FS87" s="374"/>
      <c r="FT87" s="374"/>
      <c r="FU87" s="374"/>
      <c r="FV87" s="374"/>
      <c r="FW87" s="374"/>
      <c r="FX87" s="374"/>
      <c r="FY87" s="374"/>
      <c r="FZ87" s="374"/>
      <c r="GA87" s="374"/>
      <c r="GB87" s="374"/>
      <c r="GC87" s="374"/>
      <c r="GD87" s="374"/>
      <c r="GE87" s="374"/>
      <c r="GF87" s="374"/>
      <c r="GG87" s="374"/>
      <c r="GH87" s="374"/>
      <c r="GI87" s="374"/>
      <c r="GJ87" s="374"/>
      <c r="GK87" s="374"/>
      <c r="GL87" s="374"/>
      <c r="GM87" s="374"/>
      <c r="GN87" s="374"/>
      <c r="GO87" s="374"/>
      <c r="GP87" s="374"/>
      <c r="GQ87" s="374"/>
      <c r="GR87" s="374"/>
      <c r="GS87" s="374"/>
      <c r="GT87" s="374"/>
      <c r="GU87" s="374"/>
      <c r="GV87" s="374"/>
      <c r="GW87" s="374"/>
      <c r="GX87" s="374"/>
      <c r="GY87" s="374"/>
      <c r="GZ87" s="374"/>
      <c r="HA87" s="374"/>
      <c r="HB87" s="374"/>
      <c r="HC87" s="374"/>
      <c r="HD87" s="374"/>
      <c r="HE87" s="374"/>
      <c r="HF87" s="374"/>
      <c r="HG87" s="374"/>
      <c r="HH87" s="374"/>
      <c r="HI87" s="374"/>
      <c r="HJ87" s="374"/>
      <c r="HK87" s="374"/>
      <c r="HL87" s="374"/>
      <c r="HM87" s="374"/>
      <c r="HN87" s="374"/>
      <c r="HO87" s="374"/>
      <c r="HP87" s="374"/>
      <c r="HQ87" s="374"/>
      <c r="HR87" s="374"/>
      <c r="HS87" s="374"/>
      <c r="HT87" s="374"/>
      <c r="HU87" s="374"/>
      <c r="HV87" s="374"/>
      <c r="HW87" s="374"/>
      <c r="HX87" s="374"/>
      <c r="HY87" s="374"/>
      <c r="HZ87" s="374"/>
      <c r="IA87" s="374"/>
      <c r="IB87" s="374"/>
      <c r="IC87" s="374"/>
      <c r="ID87" s="374"/>
      <c r="IE87" s="374"/>
      <c r="IF87" s="374"/>
      <c r="IG87" s="374"/>
      <c r="IH87" s="374"/>
      <c r="II87" s="374"/>
      <c r="IJ87" s="374"/>
      <c r="IK87" s="374"/>
      <c r="IL87" s="374"/>
      <c r="IM87" s="374"/>
      <c r="IN87" s="374"/>
      <c r="IO87" s="374"/>
      <c r="IP87" s="374"/>
      <c r="IQ87" s="374"/>
      <c r="IR87" s="374"/>
      <c r="IS87" s="374"/>
      <c r="IT87" s="374"/>
      <c r="IU87" s="374"/>
      <c r="IV87" s="374"/>
      <c r="IW87" s="374"/>
      <c r="IX87" s="374"/>
      <c r="IY87" s="374"/>
      <c r="IZ87" s="374"/>
      <c r="JA87" s="374"/>
      <c r="JB87" s="374"/>
      <c r="JC87" s="374"/>
      <c r="JD87" s="374"/>
      <c r="JE87" s="374"/>
      <c r="JF87" s="374"/>
      <c r="JG87" s="374"/>
      <c r="JH87" s="374"/>
      <c r="JI87" s="374"/>
      <c r="JJ87" s="374"/>
      <c r="JK87" s="374"/>
      <c r="JL87" s="374"/>
      <c r="JM87" s="374"/>
      <c r="JN87" s="374"/>
      <c r="JO87" s="374"/>
      <c r="JP87" s="374"/>
      <c r="JQ87" s="374"/>
      <c r="JR87" s="374"/>
      <c r="JS87" s="374"/>
      <c r="JT87" s="374"/>
      <c r="JU87" s="374"/>
      <c r="JV87" s="374"/>
      <c r="JW87" s="374"/>
      <c r="JX87" s="374"/>
      <c r="JY87" s="374"/>
      <c r="JZ87" s="374"/>
      <c r="KA87" s="374"/>
      <c r="KB87" s="374"/>
      <c r="KC87" s="374"/>
      <c r="KD87" s="374"/>
      <c r="KE87" s="374"/>
      <c r="KF87" s="374"/>
      <c r="KG87" s="374"/>
      <c r="KH87" s="374"/>
      <c r="KI87" s="374"/>
      <c r="KJ87" s="374"/>
      <c r="KK87" s="374"/>
      <c r="KL87" s="374"/>
      <c r="KM87" s="374"/>
      <c r="KN87" s="374"/>
      <c r="KO87" s="374"/>
      <c r="KP87" s="374"/>
      <c r="KQ87" s="374"/>
      <c r="KR87" s="374"/>
      <c r="KS87" s="374"/>
      <c r="KT87" s="374"/>
      <c r="KU87" s="374"/>
      <c r="KV87" s="374"/>
      <c r="KW87" s="374"/>
      <c r="KX87" s="374"/>
      <c r="KY87" s="374"/>
      <c r="KZ87" s="374"/>
      <c r="LA87" s="374"/>
      <c r="LB87" s="374"/>
      <c r="LC87" s="374"/>
      <c r="LD87" s="374"/>
      <c r="LE87" s="374"/>
      <c r="LF87" s="374"/>
      <c r="LG87" s="374"/>
      <c r="LH87" s="374"/>
      <c r="LI87" s="374"/>
      <c r="LJ87" s="374"/>
      <c r="LK87" s="374"/>
      <c r="LL87" s="374"/>
      <c r="LM87" s="374"/>
      <c r="LN87" s="374"/>
      <c r="LO87" s="374"/>
      <c r="LP87" s="374"/>
      <c r="LQ87" s="374"/>
    </row>
    <row r="88" spans="1:329">
      <c r="A88" s="529" t="s">
        <v>465</v>
      </c>
      <c r="B88" s="276" t="s">
        <v>351</v>
      </c>
      <c r="C88" s="276"/>
      <c r="D88" s="494" t="str">
        <f>HYPERLINK("#"&amp;"HPSBV.4_Ref","Storage &amp; Collection of Recyclables (HPSB GP5)")</f>
        <v>Storage &amp; Collection of Recyclables (HPSB GP5)</v>
      </c>
      <c r="E88" s="307"/>
      <c r="F88" s="461" t="s">
        <v>322</v>
      </c>
      <c r="G88" s="258" t="s">
        <v>399</v>
      </c>
    </row>
    <row r="89" spans="1:329">
      <c r="A89" s="533">
        <v>0</v>
      </c>
      <c r="B89" s="273" t="s">
        <v>400</v>
      </c>
      <c r="C89" s="277"/>
      <c r="D89" s="495" t="s">
        <v>401</v>
      </c>
      <c r="E89" s="308"/>
      <c r="F89" s="465" t="s">
        <v>402</v>
      </c>
      <c r="G89" s="258" t="s">
        <v>399</v>
      </c>
    </row>
    <row r="90" spans="1:329">
      <c r="A90" s="535"/>
      <c r="B90" s="260"/>
      <c r="C90" s="277"/>
      <c r="D90" s="500">
        <v>1</v>
      </c>
      <c r="E90" s="304" t="s">
        <v>403</v>
      </c>
      <c r="F90" s="466">
        <v>1</v>
      </c>
      <c r="G90" s="258" t="s">
        <v>399</v>
      </c>
      <c r="H90" s="292" t="s">
        <v>401</v>
      </c>
      <c r="I90" s="254" t="s">
        <v>400</v>
      </c>
    </row>
    <row r="91" spans="1:329">
      <c r="A91" s="535"/>
      <c r="B91" s="260"/>
      <c r="C91" s="277"/>
      <c r="D91" s="500">
        <v>2</v>
      </c>
      <c r="E91" s="304" t="s">
        <v>404</v>
      </c>
      <c r="F91" s="466">
        <v>1</v>
      </c>
      <c r="G91" s="258" t="s">
        <v>399</v>
      </c>
      <c r="H91" s="292" t="s">
        <v>401</v>
      </c>
      <c r="I91" s="254" t="s">
        <v>400</v>
      </c>
    </row>
    <row r="92" spans="1:329">
      <c r="A92" s="535"/>
      <c r="B92" s="260"/>
      <c r="C92" s="277"/>
      <c r="D92" s="500">
        <v>3</v>
      </c>
      <c r="E92" s="304" t="s">
        <v>405</v>
      </c>
      <c r="F92" s="466">
        <v>1</v>
      </c>
      <c r="G92" s="258" t="s">
        <v>399</v>
      </c>
      <c r="H92" s="292" t="s">
        <v>401</v>
      </c>
      <c r="I92" s="254" t="s">
        <v>400</v>
      </c>
    </row>
    <row r="93" spans="1:329">
      <c r="A93" s="530" t="s">
        <v>500</v>
      </c>
      <c r="B93" s="277" t="s">
        <v>406</v>
      </c>
      <c r="C93" s="277"/>
      <c r="D93" s="804" t="s">
        <v>407</v>
      </c>
      <c r="E93" s="805"/>
      <c r="F93" s="462">
        <v>1</v>
      </c>
      <c r="G93" s="258" t="s">
        <v>399</v>
      </c>
    </row>
    <row r="94" spans="1:329">
      <c r="A94" s="533">
        <v>2</v>
      </c>
      <c r="B94" s="277" t="s">
        <v>385</v>
      </c>
      <c r="C94" s="277"/>
      <c r="D94" s="502" t="str">
        <f>HYPERLINK("#"&amp;"HPSBV.5_Ref","Construction Waste Management (HPSB GP5)")</f>
        <v>Construction Waste Management (HPSB GP5)</v>
      </c>
      <c r="E94" s="229"/>
      <c r="F94" s="465" t="s">
        <v>408</v>
      </c>
      <c r="G94" s="258" t="s">
        <v>399</v>
      </c>
    </row>
    <row r="95" spans="1:329">
      <c r="A95" s="502"/>
      <c r="B95" s="277"/>
      <c r="C95" s="277"/>
      <c r="D95" s="500">
        <v>1</v>
      </c>
      <c r="E95" s="309" t="s">
        <v>409</v>
      </c>
      <c r="F95" s="466">
        <v>1</v>
      </c>
      <c r="G95" s="310" t="s">
        <v>399</v>
      </c>
      <c r="H95" s="254" t="s">
        <v>410</v>
      </c>
      <c r="I95" s="254" t="s">
        <v>385</v>
      </c>
    </row>
    <row r="96" spans="1:329">
      <c r="A96" s="502"/>
      <c r="B96" s="277"/>
      <c r="C96" s="277"/>
      <c r="D96" s="500">
        <v>2</v>
      </c>
      <c r="E96" s="309" t="s">
        <v>411</v>
      </c>
      <c r="F96" s="466">
        <v>1</v>
      </c>
      <c r="G96" s="310" t="s">
        <v>399</v>
      </c>
      <c r="H96" s="254" t="s">
        <v>410</v>
      </c>
      <c r="I96" s="254" t="s">
        <v>385</v>
      </c>
    </row>
    <row r="97" spans="1:329" s="259" customFormat="1">
      <c r="A97" s="533">
        <v>0</v>
      </c>
      <c r="B97" s="273" t="s">
        <v>327</v>
      </c>
      <c r="C97" s="277"/>
      <c r="D97" s="495" t="s">
        <v>412</v>
      </c>
      <c r="E97" s="308"/>
      <c r="F97" s="465" t="s">
        <v>408</v>
      </c>
      <c r="G97" s="310" t="s">
        <v>399</v>
      </c>
      <c r="H97" s="311"/>
      <c r="I97" s="254"/>
      <c r="J97" s="254"/>
      <c r="K97" s="254"/>
      <c r="N97" s="374"/>
      <c r="O97" s="374"/>
      <c r="P97" s="374"/>
      <c r="Q97" s="374"/>
      <c r="R97" s="374"/>
      <c r="S97" s="374"/>
      <c r="T97" s="374"/>
      <c r="U97" s="374"/>
      <c r="V97" s="374"/>
      <c r="W97" s="374"/>
      <c r="X97" s="374"/>
      <c r="Y97" s="374"/>
      <c r="Z97" s="374"/>
      <c r="AA97" s="374"/>
      <c r="AB97" s="374"/>
      <c r="AC97" s="374"/>
      <c r="AD97" s="374"/>
      <c r="AE97" s="374"/>
      <c r="AF97" s="374"/>
      <c r="AG97" s="374"/>
      <c r="AH97" s="374"/>
      <c r="AI97" s="374"/>
      <c r="AJ97" s="374"/>
      <c r="AK97" s="374"/>
      <c r="AL97" s="374"/>
      <c r="AM97" s="374"/>
      <c r="AN97" s="374"/>
      <c r="AO97" s="374"/>
      <c r="AP97" s="374"/>
      <c r="AQ97" s="374"/>
      <c r="AR97" s="374"/>
      <c r="AS97" s="374"/>
      <c r="AT97" s="374"/>
      <c r="AU97" s="374"/>
      <c r="AV97" s="374"/>
      <c r="AW97" s="374"/>
      <c r="AX97" s="374"/>
      <c r="AY97" s="374"/>
      <c r="AZ97" s="374"/>
      <c r="BA97" s="374"/>
      <c r="BB97" s="374"/>
      <c r="BC97" s="374"/>
      <c r="BD97" s="374"/>
      <c r="BE97" s="374"/>
      <c r="BF97" s="374"/>
      <c r="BG97" s="374"/>
      <c r="BH97" s="374"/>
      <c r="BI97" s="374"/>
      <c r="BJ97" s="374"/>
      <c r="BK97" s="374"/>
      <c r="BL97" s="374"/>
      <c r="BM97" s="374"/>
      <c r="BN97" s="374"/>
      <c r="BO97" s="374"/>
      <c r="BP97" s="374"/>
      <c r="BQ97" s="374"/>
      <c r="BR97" s="374"/>
      <c r="BS97" s="374"/>
      <c r="BT97" s="374"/>
      <c r="BU97" s="374"/>
      <c r="BV97" s="374"/>
      <c r="BW97" s="374"/>
      <c r="BX97" s="374"/>
      <c r="BY97" s="374"/>
      <c r="BZ97" s="374"/>
      <c r="CA97" s="374"/>
      <c r="CB97" s="374"/>
      <c r="CC97" s="374"/>
      <c r="CD97" s="374"/>
      <c r="CE97" s="374"/>
      <c r="CF97" s="374"/>
      <c r="CG97" s="374"/>
      <c r="CH97" s="374"/>
      <c r="CI97" s="374"/>
      <c r="CJ97" s="374"/>
      <c r="CK97" s="374"/>
      <c r="CL97" s="374"/>
      <c r="CM97" s="374"/>
      <c r="CN97" s="374"/>
      <c r="CO97" s="374"/>
      <c r="CP97" s="374"/>
      <c r="CQ97" s="374"/>
      <c r="CR97" s="374"/>
      <c r="CS97" s="374"/>
      <c r="CT97" s="374"/>
      <c r="CU97" s="374"/>
      <c r="CV97" s="374"/>
      <c r="CW97" s="374"/>
      <c r="CX97" s="374"/>
      <c r="CY97" s="374"/>
      <c r="CZ97" s="374"/>
      <c r="DA97" s="374"/>
      <c r="DB97" s="374"/>
      <c r="DC97" s="374"/>
      <c r="DD97" s="374"/>
      <c r="DE97" s="374"/>
      <c r="DF97" s="374"/>
      <c r="DG97" s="374"/>
      <c r="DH97" s="374"/>
      <c r="DI97" s="374"/>
      <c r="DJ97" s="374"/>
      <c r="DK97" s="374"/>
      <c r="DL97" s="374"/>
      <c r="DM97" s="374"/>
      <c r="DN97" s="374"/>
      <c r="DO97" s="374"/>
      <c r="DP97" s="374"/>
      <c r="DQ97" s="374"/>
      <c r="DR97" s="374"/>
      <c r="DS97" s="374"/>
      <c r="DT97" s="374"/>
      <c r="DU97" s="374"/>
      <c r="DV97" s="374"/>
      <c r="DW97" s="374"/>
      <c r="DX97" s="374"/>
      <c r="DY97" s="374"/>
      <c r="DZ97" s="374"/>
      <c r="EA97" s="374"/>
      <c r="EB97" s="374"/>
      <c r="EC97" s="374"/>
      <c r="ED97" s="374"/>
      <c r="EE97" s="374"/>
      <c r="EF97" s="374"/>
      <c r="EG97" s="374"/>
      <c r="EH97" s="374"/>
      <c r="EI97" s="374"/>
      <c r="EJ97" s="374"/>
      <c r="EK97" s="374"/>
      <c r="EL97" s="374"/>
      <c r="EM97" s="374"/>
      <c r="EN97" s="374"/>
      <c r="EO97" s="374"/>
      <c r="EP97" s="374"/>
      <c r="EQ97" s="374"/>
      <c r="ER97" s="374"/>
      <c r="ES97" s="374"/>
      <c r="ET97" s="374"/>
      <c r="EU97" s="374"/>
      <c r="EV97" s="374"/>
      <c r="EW97" s="374"/>
      <c r="EX97" s="374"/>
      <c r="EY97" s="374"/>
      <c r="EZ97" s="374"/>
      <c r="FA97" s="374"/>
      <c r="FB97" s="374"/>
      <c r="FC97" s="374"/>
      <c r="FD97" s="374"/>
      <c r="FE97" s="374"/>
      <c r="FF97" s="374"/>
      <c r="FG97" s="374"/>
      <c r="FH97" s="374"/>
      <c r="FI97" s="374"/>
      <c r="FJ97" s="374"/>
      <c r="FK97" s="374"/>
      <c r="FL97" s="374"/>
      <c r="FM97" s="374"/>
      <c r="FN97" s="374"/>
      <c r="FO97" s="374"/>
      <c r="FP97" s="374"/>
      <c r="FQ97" s="374"/>
      <c r="FR97" s="374"/>
      <c r="FS97" s="374"/>
      <c r="FT97" s="374"/>
      <c r="FU97" s="374"/>
      <c r="FV97" s="374"/>
      <c r="FW97" s="374"/>
      <c r="FX97" s="374"/>
      <c r="FY97" s="374"/>
      <c r="FZ97" s="374"/>
      <c r="GA97" s="374"/>
      <c r="GB97" s="374"/>
      <c r="GC97" s="374"/>
      <c r="GD97" s="374"/>
      <c r="GE97" s="374"/>
      <c r="GF97" s="374"/>
      <c r="GG97" s="374"/>
      <c r="GH97" s="374"/>
      <c r="GI97" s="374"/>
      <c r="GJ97" s="374"/>
      <c r="GK97" s="374"/>
      <c r="GL97" s="374"/>
      <c r="GM97" s="374"/>
      <c r="GN97" s="374"/>
      <c r="GO97" s="374"/>
      <c r="GP97" s="374"/>
      <c r="GQ97" s="374"/>
      <c r="GR97" s="374"/>
      <c r="GS97" s="374"/>
      <c r="GT97" s="374"/>
      <c r="GU97" s="374"/>
      <c r="GV97" s="374"/>
      <c r="GW97" s="374"/>
      <c r="GX97" s="374"/>
      <c r="GY97" s="374"/>
      <c r="GZ97" s="374"/>
      <c r="HA97" s="374"/>
      <c r="HB97" s="374"/>
      <c r="HC97" s="374"/>
      <c r="HD97" s="374"/>
      <c r="HE97" s="374"/>
      <c r="HF97" s="374"/>
      <c r="HG97" s="374"/>
      <c r="HH97" s="374"/>
      <c r="HI97" s="374"/>
      <c r="HJ97" s="374"/>
      <c r="HK97" s="374"/>
      <c r="HL97" s="374"/>
      <c r="HM97" s="374"/>
      <c r="HN97" s="374"/>
      <c r="HO97" s="374"/>
      <c r="HP97" s="374"/>
      <c r="HQ97" s="374"/>
      <c r="HR97" s="374"/>
      <c r="HS97" s="374"/>
      <c r="HT97" s="374"/>
      <c r="HU97" s="374"/>
      <c r="HV97" s="374"/>
      <c r="HW97" s="374"/>
      <c r="HX97" s="374"/>
      <c r="HY97" s="374"/>
      <c r="HZ97" s="374"/>
      <c r="IA97" s="374"/>
      <c r="IB97" s="374"/>
      <c r="IC97" s="374"/>
      <c r="ID97" s="374"/>
      <c r="IE97" s="374"/>
      <c r="IF97" s="374"/>
      <c r="IG97" s="374"/>
      <c r="IH97" s="374"/>
      <c r="II97" s="374"/>
      <c r="IJ97" s="374"/>
      <c r="IK97" s="374"/>
      <c r="IL97" s="374"/>
      <c r="IM97" s="374"/>
      <c r="IN97" s="374"/>
      <c r="IO97" s="374"/>
      <c r="IP97" s="374"/>
      <c r="IQ97" s="374"/>
      <c r="IR97" s="374"/>
      <c r="IS97" s="374"/>
      <c r="IT97" s="374"/>
      <c r="IU97" s="374"/>
      <c r="IV97" s="374"/>
      <c r="IW97" s="374"/>
      <c r="IX97" s="374"/>
      <c r="IY97" s="374"/>
      <c r="IZ97" s="374"/>
      <c r="JA97" s="374"/>
      <c r="JB97" s="374"/>
      <c r="JC97" s="374"/>
      <c r="JD97" s="374"/>
      <c r="JE97" s="374"/>
      <c r="JF97" s="374"/>
      <c r="JG97" s="374"/>
      <c r="JH97" s="374"/>
      <c r="JI97" s="374"/>
      <c r="JJ97" s="374"/>
      <c r="JK97" s="374"/>
      <c r="JL97" s="374"/>
      <c r="JM97" s="374"/>
      <c r="JN97" s="374"/>
      <c r="JO97" s="374"/>
      <c r="JP97" s="374"/>
      <c r="JQ97" s="374"/>
      <c r="JR97" s="374"/>
      <c r="JS97" s="374"/>
      <c r="JT97" s="374"/>
      <c r="JU97" s="374"/>
      <c r="JV97" s="374"/>
      <c r="JW97" s="374"/>
      <c r="JX97" s="374"/>
      <c r="JY97" s="374"/>
      <c r="JZ97" s="374"/>
      <c r="KA97" s="374"/>
      <c r="KB97" s="374"/>
      <c r="KC97" s="374"/>
      <c r="KD97" s="374"/>
      <c r="KE97" s="374"/>
      <c r="KF97" s="374"/>
      <c r="KG97" s="374"/>
      <c r="KH97" s="374"/>
      <c r="KI97" s="374"/>
      <c r="KJ97" s="374"/>
      <c r="KK97" s="374"/>
      <c r="KL97" s="374"/>
      <c r="KM97" s="374"/>
      <c r="KN97" s="374"/>
      <c r="KO97" s="374"/>
      <c r="KP97" s="374"/>
      <c r="KQ97" s="374"/>
      <c r="KR97" s="374"/>
      <c r="KS97" s="374"/>
      <c r="KT97" s="374"/>
      <c r="KU97" s="374"/>
      <c r="KV97" s="374"/>
      <c r="KW97" s="374"/>
      <c r="KX97" s="374"/>
      <c r="KY97" s="374"/>
      <c r="KZ97" s="374"/>
      <c r="LA97" s="374"/>
      <c r="LB97" s="374"/>
      <c r="LC97" s="374"/>
      <c r="LD97" s="374"/>
      <c r="LE97" s="374"/>
      <c r="LF97" s="374"/>
      <c r="LG97" s="374"/>
      <c r="LH97" s="374"/>
      <c r="LI97" s="374"/>
      <c r="LJ97" s="374"/>
      <c r="LK97" s="374"/>
      <c r="LL97" s="374"/>
      <c r="LM97" s="374"/>
      <c r="LN97" s="374"/>
      <c r="LO97" s="374"/>
      <c r="LP97" s="374"/>
      <c r="LQ97" s="374"/>
    </row>
    <row r="98" spans="1:329" s="259" customFormat="1">
      <c r="A98" s="535"/>
      <c r="B98" s="260"/>
      <c r="C98" s="277"/>
      <c r="D98" s="500">
        <v>1</v>
      </c>
      <c r="E98" s="312">
        <v>0.05</v>
      </c>
      <c r="F98" s="466">
        <v>1</v>
      </c>
      <c r="G98" s="310" t="s">
        <v>399</v>
      </c>
      <c r="H98" s="292" t="s">
        <v>412</v>
      </c>
      <c r="I98" s="254" t="s">
        <v>327</v>
      </c>
      <c r="J98" s="254"/>
      <c r="K98" s="254"/>
      <c r="N98" s="374"/>
      <c r="O98" s="374"/>
      <c r="P98" s="374"/>
      <c r="Q98" s="374"/>
      <c r="R98" s="374"/>
      <c r="S98" s="374"/>
      <c r="T98" s="374"/>
      <c r="U98" s="374"/>
      <c r="V98" s="374"/>
      <c r="W98" s="374"/>
      <c r="X98" s="374"/>
      <c r="Y98" s="374"/>
      <c r="Z98" s="374"/>
      <c r="AA98" s="374"/>
      <c r="AB98" s="374"/>
      <c r="AC98" s="374"/>
      <c r="AD98" s="374"/>
      <c r="AE98" s="374"/>
      <c r="AF98" s="374"/>
      <c r="AG98" s="374"/>
      <c r="AH98" s="374"/>
      <c r="AI98" s="374"/>
      <c r="AJ98" s="374"/>
      <c r="AK98" s="374"/>
      <c r="AL98" s="374"/>
      <c r="AM98" s="374"/>
      <c r="AN98" s="374"/>
      <c r="AO98" s="374"/>
      <c r="AP98" s="374"/>
      <c r="AQ98" s="374"/>
      <c r="AR98" s="374"/>
      <c r="AS98" s="374"/>
      <c r="AT98" s="374"/>
      <c r="AU98" s="374"/>
      <c r="AV98" s="374"/>
      <c r="AW98" s="374"/>
      <c r="AX98" s="374"/>
      <c r="AY98" s="374"/>
      <c r="AZ98" s="374"/>
      <c r="BA98" s="374"/>
      <c r="BB98" s="374"/>
      <c r="BC98" s="374"/>
      <c r="BD98" s="374"/>
      <c r="BE98" s="374"/>
      <c r="BF98" s="374"/>
      <c r="BG98" s="374"/>
      <c r="BH98" s="374"/>
      <c r="BI98" s="374"/>
      <c r="BJ98" s="374"/>
      <c r="BK98" s="374"/>
      <c r="BL98" s="374"/>
      <c r="BM98" s="374"/>
      <c r="BN98" s="374"/>
      <c r="BO98" s="374"/>
      <c r="BP98" s="374"/>
      <c r="BQ98" s="374"/>
      <c r="BR98" s="374"/>
      <c r="BS98" s="374"/>
      <c r="BT98" s="374"/>
      <c r="BU98" s="374"/>
      <c r="BV98" s="374"/>
      <c r="BW98" s="374"/>
      <c r="BX98" s="374"/>
      <c r="BY98" s="374"/>
      <c r="BZ98" s="374"/>
      <c r="CA98" s="374"/>
      <c r="CB98" s="374"/>
      <c r="CC98" s="374"/>
      <c r="CD98" s="374"/>
      <c r="CE98" s="374"/>
      <c r="CF98" s="374"/>
      <c r="CG98" s="374"/>
      <c r="CH98" s="374"/>
      <c r="CI98" s="374"/>
      <c r="CJ98" s="374"/>
      <c r="CK98" s="374"/>
      <c r="CL98" s="374"/>
      <c r="CM98" s="374"/>
      <c r="CN98" s="374"/>
      <c r="CO98" s="374"/>
      <c r="CP98" s="374"/>
      <c r="CQ98" s="374"/>
      <c r="CR98" s="374"/>
      <c r="CS98" s="374"/>
      <c r="CT98" s="374"/>
      <c r="CU98" s="374"/>
      <c r="CV98" s="374"/>
      <c r="CW98" s="374"/>
      <c r="CX98" s="374"/>
      <c r="CY98" s="374"/>
      <c r="CZ98" s="374"/>
      <c r="DA98" s="374"/>
      <c r="DB98" s="374"/>
      <c r="DC98" s="374"/>
      <c r="DD98" s="374"/>
      <c r="DE98" s="374"/>
      <c r="DF98" s="374"/>
      <c r="DG98" s="374"/>
      <c r="DH98" s="374"/>
      <c r="DI98" s="374"/>
      <c r="DJ98" s="374"/>
      <c r="DK98" s="374"/>
      <c r="DL98" s="374"/>
      <c r="DM98" s="374"/>
      <c r="DN98" s="374"/>
      <c r="DO98" s="374"/>
      <c r="DP98" s="374"/>
      <c r="DQ98" s="374"/>
      <c r="DR98" s="374"/>
      <c r="DS98" s="374"/>
      <c r="DT98" s="374"/>
      <c r="DU98" s="374"/>
      <c r="DV98" s="374"/>
      <c r="DW98" s="374"/>
      <c r="DX98" s="374"/>
      <c r="DY98" s="374"/>
      <c r="DZ98" s="374"/>
      <c r="EA98" s="374"/>
      <c r="EB98" s="374"/>
      <c r="EC98" s="374"/>
      <c r="ED98" s="374"/>
      <c r="EE98" s="374"/>
      <c r="EF98" s="374"/>
      <c r="EG98" s="374"/>
      <c r="EH98" s="374"/>
      <c r="EI98" s="374"/>
      <c r="EJ98" s="374"/>
      <c r="EK98" s="374"/>
      <c r="EL98" s="374"/>
      <c r="EM98" s="374"/>
      <c r="EN98" s="374"/>
      <c r="EO98" s="374"/>
      <c r="EP98" s="374"/>
      <c r="EQ98" s="374"/>
      <c r="ER98" s="374"/>
      <c r="ES98" s="374"/>
      <c r="ET98" s="374"/>
      <c r="EU98" s="374"/>
      <c r="EV98" s="374"/>
      <c r="EW98" s="374"/>
      <c r="EX98" s="374"/>
      <c r="EY98" s="374"/>
      <c r="EZ98" s="374"/>
      <c r="FA98" s="374"/>
      <c r="FB98" s="374"/>
      <c r="FC98" s="374"/>
      <c r="FD98" s="374"/>
      <c r="FE98" s="374"/>
      <c r="FF98" s="374"/>
      <c r="FG98" s="374"/>
      <c r="FH98" s="374"/>
      <c r="FI98" s="374"/>
      <c r="FJ98" s="374"/>
      <c r="FK98" s="374"/>
      <c r="FL98" s="374"/>
      <c r="FM98" s="374"/>
      <c r="FN98" s="374"/>
      <c r="FO98" s="374"/>
      <c r="FP98" s="374"/>
      <c r="FQ98" s="374"/>
      <c r="FR98" s="374"/>
      <c r="FS98" s="374"/>
      <c r="FT98" s="374"/>
      <c r="FU98" s="374"/>
      <c r="FV98" s="374"/>
      <c r="FW98" s="374"/>
      <c r="FX98" s="374"/>
      <c r="FY98" s="374"/>
      <c r="FZ98" s="374"/>
      <c r="GA98" s="374"/>
      <c r="GB98" s="374"/>
      <c r="GC98" s="374"/>
      <c r="GD98" s="374"/>
      <c r="GE98" s="374"/>
      <c r="GF98" s="374"/>
      <c r="GG98" s="374"/>
      <c r="GH98" s="374"/>
      <c r="GI98" s="374"/>
      <c r="GJ98" s="374"/>
      <c r="GK98" s="374"/>
      <c r="GL98" s="374"/>
      <c r="GM98" s="374"/>
      <c r="GN98" s="374"/>
      <c r="GO98" s="374"/>
      <c r="GP98" s="374"/>
      <c r="GQ98" s="374"/>
      <c r="GR98" s="374"/>
      <c r="GS98" s="374"/>
      <c r="GT98" s="374"/>
      <c r="GU98" s="374"/>
      <c r="GV98" s="374"/>
      <c r="GW98" s="374"/>
      <c r="GX98" s="374"/>
      <c r="GY98" s="374"/>
      <c r="GZ98" s="374"/>
      <c r="HA98" s="374"/>
      <c r="HB98" s="374"/>
      <c r="HC98" s="374"/>
      <c r="HD98" s="374"/>
      <c r="HE98" s="374"/>
      <c r="HF98" s="374"/>
      <c r="HG98" s="374"/>
      <c r="HH98" s="374"/>
      <c r="HI98" s="374"/>
      <c r="HJ98" s="374"/>
      <c r="HK98" s="374"/>
      <c r="HL98" s="374"/>
      <c r="HM98" s="374"/>
      <c r="HN98" s="374"/>
      <c r="HO98" s="374"/>
      <c r="HP98" s="374"/>
      <c r="HQ98" s="374"/>
      <c r="HR98" s="374"/>
      <c r="HS98" s="374"/>
      <c r="HT98" s="374"/>
      <c r="HU98" s="374"/>
      <c r="HV98" s="374"/>
      <c r="HW98" s="374"/>
      <c r="HX98" s="374"/>
      <c r="HY98" s="374"/>
      <c r="HZ98" s="374"/>
      <c r="IA98" s="374"/>
      <c r="IB98" s="374"/>
      <c r="IC98" s="374"/>
      <c r="ID98" s="374"/>
      <c r="IE98" s="374"/>
      <c r="IF98" s="374"/>
      <c r="IG98" s="374"/>
      <c r="IH98" s="374"/>
      <c r="II98" s="374"/>
      <c r="IJ98" s="374"/>
      <c r="IK98" s="374"/>
      <c r="IL98" s="374"/>
      <c r="IM98" s="374"/>
      <c r="IN98" s="374"/>
      <c r="IO98" s="374"/>
      <c r="IP98" s="374"/>
      <c r="IQ98" s="374"/>
      <c r="IR98" s="374"/>
      <c r="IS98" s="374"/>
      <c r="IT98" s="374"/>
      <c r="IU98" s="374"/>
      <c r="IV98" s="374"/>
      <c r="IW98" s="374"/>
      <c r="IX98" s="374"/>
      <c r="IY98" s="374"/>
      <c r="IZ98" s="374"/>
      <c r="JA98" s="374"/>
      <c r="JB98" s="374"/>
      <c r="JC98" s="374"/>
      <c r="JD98" s="374"/>
      <c r="JE98" s="374"/>
      <c r="JF98" s="374"/>
      <c r="JG98" s="374"/>
      <c r="JH98" s="374"/>
      <c r="JI98" s="374"/>
      <c r="JJ98" s="374"/>
      <c r="JK98" s="374"/>
      <c r="JL98" s="374"/>
      <c r="JM98" s="374"/>
      <c r="JN98" s="374"/>
      <c r="JO98" s="374"/>
      <c r="JP98" s="374"/>
      <c r="JQ98" s="374"/>
      <c r="JR98" s="374"/>
      <c r="JS98" s="374"/>
      <c r="JT98" s="374"/>
      <c r="JU98" s="374"/>
      <c r="JV98" s="374"/>
      <c r="JW98" s="374"/>
      <c r="JX98" s="374"/>
      <c r="JY98" s="374"/>
      <c r="JZ98" s="374"/>
      <c r="KA98" s="374"/>
      <c r="KB98" s="374"/>
      <c r="KC98" s="374"/>
      <c r="KD98" s="374"/>
      <c r="KE98" s="374"/>
      <c r="KF98" s="374"/>
      <c r="KG98" s="374"/>
      <c r="KH98" s="374"/>
      <c r="KI98" s="374"/>
      <c r="KJ98" s="374"/>
      <c r="KK98" s="374"/>
      <c r="KL98" s="374"/>
      <c r="KM98" s="374"/>
      <c r="KN98" s="374"/>
      <c r="KO98" s="374"/>
      <c r="KP98" s="374"/>
      <c r="KQ98" s="374"/>
      <c r="KR98" s="374"/>
      <c r="KS98" s="374"/>
      <c r="KT98" s="374"/>
      <c r="KU98" s="374"/>
      <c r="KV98" s="374"/>
      <c r="KW98" s="374"/>
      <c r="KX98" s="374"/>
      <c r="KY98" s="374"/>
      <c r="KZ98" s="374"/>
      <c r="LA98" s="374"/>
      <c r="LB98" s="374"/>
      <c r="LC98" s="374"/>
      <c r="LD98" s="374"/>
      <c r="LE98" s="374"/>
      <c r="LF98" s="374"/>
      <c r="LG98" s="374"/>
      <c r="LH98" s="374"/>
      <c r="LI98" s="374"/>
      <c r="LJ98" s="374"/>
      <c r="LK98" s="374"/>
      <c r="LL98" s="374"/>
      <c r="LM98" s="374"/>
      <c r="LN98" s="374"/>
      <c r="LO98" s="374"/>
      <c r="LP98" s="374"/>
      <c r="LQ98" s="374"/>
    </row>
    <row r="99" spans="1:329" s="259" customFormat="1">
      <c r="A99" s="535"/>
      <c r="B99" s="260"/>
      <c r="C99" s="277"/>
      <c r="D99" s="500">
        <v>2</v>
      </c>
      <c r="E99" s="312">
        <v>0.1</v>
      </c>
      <c r="F99" s="466">
        <v>1</v>
      </c>
      <c r="G99" s="310" t="s">
        <v>399</v>
      </c>
      <c r="H99" s="292" t="s">
        <v>412</v>
      </c>
      <c r="I99" s="254" t="s">
        <v>327</v>
      </c>
      <c r="J99" s="254"/>
      <c r="K99" s="254"/>
      <c r="N99" s="374"/>
      <c r="O99" s="374"/>
      <c r="P99" s="374"/>
      <c r="Q99" s="374"/>
      <c r="R99" s="374"/>
      <c r="S99" s="374"/>
      <c r="T99" s="374"/>
      <c r="U99" s="374"/>
      <c r="V99" s="374"/>
      <c r="W99" s="374"/>
      <c r="X99" s="374"/>
      <c r="Y99" s="374"/>
      <c r="Z99" s="374"/>
      <c r="AA99" s="374"/>
      <c r="AB99" s="374"/>
      <c r="AC99" s="374"/>
      <c r="AD99" s="374"/>
      <c r="AE99" s="374"/>
      <c r="AF99" s="374"/>
      <c r="AG99" s="374"/>
      <c r="AH99" s="374"/>
      <c r="AI99" s="374"/>
      <c r="AJ99" s="374"/>
      <c r="AK99" s="374"/>
      <c r="AL99" s="374"/>
      <c r="AM99" s="374"/>
      <c r="AN99" s="374"/>
      <c r="AO99" s="374"/>
      <c r="AP99" s="374"/>
      <c r="AQ99" s="374"/>
      <c r="AR99" s="374"/>
      <c r="AS99" s="374"/>
      <c r="AT99" s="374"/>
      <c r="AU99" s="374"/>
      <c r="AV99" s="374"/>
      <c r="AW99" s="374"/>
      <c r="AX99" s="374"/>
      <c r="AY99" s="374"/>
      <c r="AZ99" s="374"/>
      <c r="BA99" s="374"/>
      <c r="BB99" s="374"/>
      <c r="BC99" s="374"/>
      <c r="BD99" s="374"/>
      <c r="BE99" s="374"/>
      <c r="BF99" s="374"/>
      <c r="BG99" s="374"/>
      <c r="BH99" s="374"/>
      <c r="BI99" s="374"/>
      <c r="BJ99" s="374"/>
      <c r="BK99" s="374"/>
      <c r="BL99" s="374"/>
      <c r="BM99" s="374"/>
      <c r="BN99" s="374"/>
      <c r="BO99" s="374"/>
      <c r="BP99" s="374"/>
      <c r="BQ99" s="374"/>
      <c r="BR99" s="374"/>
      <c r="BS99" s="374"/>
      <c r="BT99" s="374"/>
      <c r="BU99" s="374"/>
      <c r="BV99" s="374"/>
      <c r="BW99" s="374"/>
      <c r="BX99" s="374"/>
      <c r="BY99" s="374"/>
      <c r="BZ99" s="374"/>
      <c r="CA99" s="374"/>
      <c r="CB99" s="374"/>
      <c r="CC99" s="374"/>
      <c r="CD99" s="374"/>
      <c r="CE99" s="374"/>
      <c r="CF99" s="374"/>
      <c r="CG99" s="374"/>
      <c r="CH99" s="374"/>
      <c r="CI99" s="374"/>
      <c r="CJ99" s="374"/>
      <c r="CK99" s="374"/>
      <c r="CL99" s="374"/>
      <c r="CM99" s="374"/>
      <c r="CN99" s="374"/>
      <c r="CO99" s="374"/>
      <c r="CP99" s="374"/>
      <c r="CQ99" s="374"/>
      <c r="CR99" s="374"/>
      <c r="CS99" s="374"/>
      <c r="CT99" s="374"/>
      <c r="CU99" s="374"/>
      <c r="CV99" s="374"/>
      <c r="CW99" s="374"/>
      <c r="CX99" s="374"/>
      <c r="CY99" s="374"/>
      <c r="CZ99" s="374"/>
      <c r="DA99" s="374"/>
      <c r="DB99" s="374"/>
      <c r="DC99" s="374"/>
      <c r="DD99" s="374"/>
      <c r="DE99" s="374"/>
      <c r="DF99" s="374"/>
      <c r="DG99" s="374"/>
      <c r="DH99" s="374"/>
      <c r="DI99" s="374"/>
      <c r="DJ99" s="374"/>
      <c r="DK99" s="374"/>
      <c r="DL99" s="374"/>
      <c r="DM99" s="374"/>
      <c r="DN99" s="374"/>
      <c r="DO99" s="374"/>
      <c r="DP99" s="374"/>
      <c r="DQ99" s="374"/>
      <c r="DR99" s="374"/>
      <c r="DS99" s="374"/>
      <c r="DT99" s="374"/>
      <c r="DU99" s="374"/>
      <c r="DV99" s="374"/>
      <c r="DW99" s="374"/>
      <c r="DX99" s="374"/>
      <c r="DY99" s="374"/>
      <c r="DZ99" s="374"/>
      <c r="EA99" s="374"/>
      <c r="EB99" s="374"/>
      <c r="EC99" s="374"/>
      <c r="ED99" s="374"/>
      <c r="EE99" s="374"/>
      <c r="EF99" s="374"/>
      <c r="EG99" s="374"/>
      <c r="EH99" s="374"/>
      <c r="EI99" s="374"/>
      <c r="EJ99" s="374"/>
      <c r="EK99" s="374"/>
      <c r="EL99" s="374"/>
      <c r="EM99" s="374"/>
      <c r="EN99" s="374"/>
      <c r="EO99" s="374"/>
      <c r="EP99" s="374"/>
      <c r="EQ99" s="374"/>
      <c r="ER99" s="374"/>
      <c r="ES99" s="374"/>
      <c r="ET99" s="374"/>
      <c r="EU99" s="374"/>
      <c r="EV99" s="374"/>
      <c r="EW99" s="374"/>
      <c r="EX99" s="374"/>
      <c r="EY99" s="374"/>
      <c r="EZ99" s="374"/>
      <c r="FA99" s="374"/>
      <c r="FB99" s="374"/>
      <c r="FC99" s="374"/>
      <c r="FD99" s="374"/>
      <c r="FE99" s="374"/>
      <c r="FF99" s="374"/>
      <c r="FG99" s="374"/>
      <c r="FH99" s="374"/>
      <c r="FI99" s="374"/>
      <c r="FJ99" s="374"/>
      <c r="FK99" s="374"/>
      <c r="FL99" s="374"/>
      <c r="FM99" s="374"/>
      <c r="FN99" s="374"/>
      <c r="FO99" s="374"/>
      <c r="FP99" s="374"/>
      <c r="FQ99" s="374"/>
      <c r="FR99" s="374"/>
      <c r="FS99" s="374"/>
      <c r="FT99" s="374"/>
      <c r="FU99" s="374"/>
      <c r="FV99" s="374"/>
      <c r="FW99" s="374"/>
      <c r="FX99" s="374"/>
      <c r="FY99" s="374"/>
      <c r="FZ99" s="374"/>
      <c r="GA99" s="374"/>
      <c r="GB99" s="374"/>
      <c r="GC99" s="374"/>
      <c r="GD99" s="374"/>
      <c r="GE99" s="374"/>
      <c r="GF99" s="374"/>
      <c r="GG99" s="374"/>
      <c r="GH99" s="374"/>
      <c r="GI99" s="374"/>
      <c r="GJ99" s="374"/>
      <c r="GK99" s="374"/>
      <c r="GL99" s="374"/>
      <c r="GM99" s="374"/>
      <c r="GN99" s="374"/>
      <c r="GO99" s="374"/>
      <c r="GP99" s="374"/>
      <c r="GQ99" s="374"/>
      <c r="GR99" s="374"/>
      <c r="GS99" s="374"/>
      <c r="GT99" s="374"/>
      <c r="GU99" s="374"/>
      <c r="GV99" s="374"/>
      <c r="GW99" s="374"/>
      <c r="GX99" s="374"/>
      <c r="GY99" s="374"/>
      <c r="GZ99" s="374"/>
      <c r="HA99" s="374"/>
      <c r="HB99" s="374"/>
      <c r="HC99" s="374"/>
      <c r="HD99" s="374"/>
      <c r="HE99" s="374"/>
      <c r="HF99" s="374"/>
      <c r="HG99" s="374"/>
      <c r="HH99" s="374"/>
      <c r="HI99" s="374"/>
      <c r="HJ99" s="374"/>
      <c r="HK99" s="374"/>
      <c r="HL99" s="374"/>
      <c r="HM99" s="374"/>
      <c r="HN99" s="374"/>
      <c r="HO99" s="374"/>
      <c r="HP99" s="374"/>
      <c r="HQ99" s="374"/>
      <c r="HR99" s="374"/>
      <c r="HS99" s="374"/>
      <c r="HT99" s="374"/>
      <c r="HU99" s="374"/>
      <c r="HV99" s="374"/>
      <c r="HW99" s="374"/>
      <c r="HX99" s="374"/>
      <c r="HY99" s="374"/>
      <c r="HZ99" s="374"/>
      <c r="IA99" s="374"/>
      <c r="IB99" s="374"/>
      <c r="IC99" s="374"/>
      <c r="ID99" s="374"/>
      <c r="IE99" s="374"/>
      <c r="IF99" s="374"/>
      <c r="IG99" s="374"/>
      <c r="IH99" s="374"/>
      <c r="II99" s="374"/>
      <c r="IJ99" s="374"/>
      <c r="IK99" s="374"/>
      <c r="IL99" s="374"/>
      <c r="IM99" s="374"/>
      <c r="IN99" s="374"/>
      <c r="IO99" s="374"/>
      <c r="IP99" s="374"/>
      <c r="IQ99" s="374"/>
      <c r="IR99" s="374"/>
      <c r="IS99" s="374"/>
      <c r="IT99" s="374"/>
      <c r="IU99" s="374"/>
      <c r="IV99" s="374"/>
      <c r="IW99" s="374"/>
      <c r="IX99" s="374"/>
      <c r="IY99" s="374"/>
      <c r="IZ99" s="374"/>
      <c r="JA99" s="374"/>
      <c r="JB99" s="374"/>
      <c r="JC99" s="374"/>
      <c r="JD99" s="374"/>
      <c r="JE99" s="374"/>
      <c r="JF99" s="374"/>
      <c r="JG99" s="374"/>
      <c r="JH99" s="374"/>
      <c r="JI99" s="374"/>
      <c r="JJ99" s="374"/>
      <c r="JK99" s="374"/>
      <c r="JL99" s="374"/>
      <c r="JM99" s="374"/>
      <c r="JN99" s="374"/>
      <c r="JO99" s="374"/>
      <c r="JP99" s="374"/>
      <c r="JQ99" s="374"/>
      <c r="JR99" s="374"/>
      <c r="JS99" s="374"/>
      <c r="JT99" s="374"/>
      <c r="JU99" s="374"/>
      <c r="JV99" s="374"/>
      <c r="JW99" s="374"/>
      <c r="JX99" s="374"/>
      <c r="JY99" s="374"/>
      <c r="JZ99" s="374"/>
      <c r="KA99" s="374"/>
      <c r="KB99" s="374"/>
      <c r="KC99" s="374"/>
      <c r="KD99" s="374"/>
      <c r="KE99" s="374"/>
      <c r="KF99" s="374"/>
      <c r="KG99" s="374"/>
      <c r="KH99" s="374"/>
      <c r="KI99" s="374"/>
      <c r="KJ99" s="374"/>
      <c r="KK99" s="374"/>
      <c r="KL99" s="374"/>
      <c r="KM99" s="374"/>
      <c r="KN99" s="374"/>
      <c r="KO99" s="374"/>
      <c r="KP99" s="374"/>
      <c r="KQ99" s="374"/>
      <c r="KR99" s="374"/>
      <c r="KS99" s="374"/>
      <c r="KT99" s="374"/>
      <c r="KU99" s="374"/>
      <c r="KV99" s="374"/>
      <c r="KW99" s="374"/>
      <c r="KX99" s="374"/>
      <c r="KY99" s="374"/>
      <c r="KZ99" s="374"/>
      <c r="LA99" s="374"/>
      <c r="LB99" s="374"/>
      <c r="LC99" s="374"/>
      <c r="LD99" s="374"/>
      <c r="LE99" s="374"/>
      <c r="LF99" s="374"/>
      <c r="LG99" s="374"/>
      <c r="LH99" s="374"/>
      <c r="LI99" s="374"/>
      <c r="LJ99" s="374"/>
      <c r="LK99" s="374"/>
      <c r="LL99" s="374"/>
      <c r="LM99" s="374"/>
      <c r="LN99" s="374"/>
      <c r="LO99" s="374"/>
      <c r="LP99" s="374"/>
      <c r="LQ99" s="374"/>
    </row>
    <row r="100" spans="1:329" ht="12.75" customHeight="1">
      <c r="A100" s="533">
        <v>2</v>
      </c>
      <c r="B100" s="273" t="s">
        <v>413</v>
      </c>
      <c r="C100" s="277"/>
      <c r="D100" s="810" t="str">
        <f>HYPERLINK("#"&amp;"HPSBV.1_Ref","Recycled Content (HPSB GP5)")</f>
        <v>Recycled Content (HPSB GP5)</v>
      </c>
      <c r="E100" s="807"/>
      <c r="F100" s="465" t="s">
        <v>408</v>
      </c>
      <c r="G100" s="258" t="s">
        <v>399</v>
      </c>
    </row>
    <row r="101" spans="1:329" ht="12.75" customHeight="1">
      <c r="A101" s="535"/>
      <c r="B101" s="273"/>
      <c r="C101" s="277"/>
      <c r="D101" s="500">
        <v>1</v>
      </c>
      <c r="E101" s="312">
        <v>0.1</v>
      </c>
      <c r="F101" s="462">
        <v>1</v>
      </c>
      <c r="G101" s="258" t="s">
        <v>399</v>
      </c>
      <c r="H101" s="254" t="s">
        <v>414</v>
      </c>
      <c r="I101" s="254" t="s">
        <v>413</v>
      </c>
    </row>
    <row r="102" spans="1:329" ht="12.75" customHeight="1">
      <c r="A102" s="535"/>
      <c r="B102" s="273"/>
      <c r="C102" s="277"/>
      <c r="D102" s="500">
        <v>2</v>
      </c>
      <c r="E102" s="312">
        <v>0.2</v>
      </c>
      <c r="F102" s="462">
        <v>1</v>
      </c>
      <c r="G102" s="258" t="s">
        <v>399</v>
      </c>
      <c r="H102" s="254" t="s">
        <v>414</v>
      </c>
      <c r="I102" s="254" t="s">
        <v>413</v>
      </c>
    </row>
    <row r="103" spans="1:329" s="259" customFormat="1">
      <c r="A103" s="533">
        <v>2</v>
      </c>
      <c r="B103" s="273" t="s">
        <v>396</v>
      </c>
      <c r="C103" s="277"/>
      <c r="D103" s="495" t="s">
        <v>415</v>
      </c>
      <c r="E103" s="308"/>
      <c r="F103" s="465" t="s">
        <v>408</v>
      </c>
      <c r="G103" s="310" t="s">
        <v>399</v>
      </c>
      <c r="H103" s="254"/>
      <c r="I103" s="254"/>
      <c r="J103" s="254"/>
      <c r="K103" s="254"/>
      <c r="N103" s="374"/>
      <c r="O103" s="374"/>
      <c r="P103" s="374"/>
      <c r="Q103" s="374"/>
      <c r="R103" s="374"/>
      <c r="S103" s="374"/>
      <c r="T103" s="374"/>
      <c r="U103" s="374"/>
      <c r="V103" s="374"/>
      <c r="W103" s="374"/>
      <c r="X103" s="374"/>
      <c r="Y103" s="374"/>
      <c r="Z103" s="374"/>
      <c r="AA103" s="374"/>
      <c r="AB103" s="374"/>
      <c r="AC103" s="374"/>
      <c r="AD103" s="374"/>
      <c r="AE103" s="374"/>
      <c r="AF103" s="374"/>
      <c r="AG103" s="374"/>
      <c r="AH103" s="374"/>
      <c r="AI103" s="374"/>
      <c r="AJ103" s="374"/>
      <c r="AK103" s="374"/>
      <c r="AL103" s="374"/>
      <c r="AM103" s="374"/>
      <c r="AN103" s="374"/>
      <c r="AO103" s="374"/>
      <c r="AP103" s="374"/>
      <c r="AQ103" s="374"/>
      <c r="AR103" s="374"/>
      <c r="AS103" s="374"/>
      <c r="AT103" s="374"/>
      <c r="AU103" s="374"/>
      <c r="AV103" s="374"/>
      <c r="AW103" s="374"/>
      <c r="AX103" s="374"/>
      <c r="AY103" s="374"/>
      <c r="AZ103" s="374"/>
      <c r="BA103" s="374"/>
      <c r="BB103" s="374"/>
      <c r="BC103" s="374"/>
      <c r="BD103" s="374"/>
      <c r="BE103" s="374"/>
      <c r="BF103" s="374"/>
      <c r="BG103" s="374"/>
      <c r="BH103" s="374"/>
      <c r="BI103" s="374"/>
      <c r="BJ103" s="374"/>
      <c r="BK103" s="374"/>
      <c r="BL103" s="374"/>
      <c r="BM103" s="374"/>
      <c r="BN103" s="374"/>
      <c r="BO103" s="374"/>
      <c r="BP103" s="374"/>
      <c r="BQ103" s="374"/>
      <c r="BR103" s="374"/>
      <c r="BS103" s="374"/>
      <c r="BT103" s="374"/>
      <c r="BU103" s="374"/>
      <c r="BV103" s="374"/>
      <c r="BW103" s="374"/>
      <c r="BX103" s="374"/>
      <c r="BY103" s="374"/>
      <c r="BZ103" s="374"/>
      <c r="CA103" s="374"/>
      <c r="CB103" s="374"/>
      <c r="CC103" s="374"/>
      <c r="CD103" s="374"/>
      <c r="CE103" s="374"/>
      <c r="CF103" s="374"/>
      <c r="CG103" s="374"/>
      <c r="CH103" s="374"/>
      <c r="CI103" s="374"/>
      <c r="CJ103" s="374"/>
      <c r="CK103" s="374"/>
      <c r="CL103" s="374"/>
      <c r="CM103" s="374"/>
      <c r="CN103" s="374"/>
      <c r="CO103" s="374"/>
      <c r="CP103" s="374"/>
      <c r="CQ103" s="374"/>
      <c r="CR103" s="374"/>
      <c r="CS103" s="374"/>
      <c r="CT103" s="374"/>
      <c r="CU103" s="374"/>
      <c r="CV103" s="374"/>
      <c r="CW103" s="374"/>
      <c r="CX103" s="374"/>
      <c r="CY103" s="374"/>
      <c r="CZ103" s="374"/>
      <c r="DA103" s="374"/>
      <c r="DB103" s="374"/>
      <c r="DC103" s="374"/>
      <c r="DD103" s="374"/>
      <c r="DE103" s="374"/>
      <c r="DF103" s="374"/>
      <c r="DG103" s="374"/>
      <c r="DH103" s="374"/>
      <c r="DI103" s="374"/>
      <c r="DJ103" s="374"/>
      <c r="DK103" s="374"/>
      <c r="DL103" s="374"/>
      <c r="DM103" s="374"/>
      <c r="DN103" s="374"/>
      <c r="DO103" s="374"/>
      <c r="DP103" s="374"/>
      <c r="DQ103" s="374"/>
      <c r="DR103" s="374"/>
      <c r="DS103" s="374"/>
      <c r="DT103" s="374"/>
      <c r="DU103" s="374"/>
      <c r="DV103" s="374"/>
      <c r="DW103" s="374"/>
      <c r="DX103" s="374"/>
      <c r="DY103" s="374"/>
      <c r="DZ103" s="374"/>
      <c r="EA103" s="374"/>
      <c r="EB103" s="374"/>
      <c r="EC103" s="374"/>
      <c r="ED103" s="374"/>
      <c r="EE103" s="374"/>
      <c r="EF103" s="374"/>
      <c r="EG103" s="374"/>
      <c r="EH103" s="374"/>
      <c r="EI103" s="374"/>
      <c r="EJ103" s="374"/>
      <c r="EK103" s="374"/>
      <c r="EL103" s="374"/>
      <c r="EM103" s="374"/>
      <c r="EN103" s="374"/>
      <c r="EO103" s="374"/>
      <c r="EP103" s="374"/>
      <c r="EQ103" s="374"/>
      <c r="ER103" s="374"/>
      <c r="ES103" s="374"/>
      <c r="ET103" s="374"/>
      <c r="EU103" s="374"/>
      <c r="EV103" s="374"/>
      <c r="EW103" s="374"/>
      <c r="EX103" s="374"/>
      <c r="EY103" s="374"/>
      <c r="EZ103" s="374"/>
      <c r="FA103" s="374"/>
      <c r="FB103" s="374"/>
      <c r="FC103" s="374"/>
      <c r="FD103" s="374"/>
      <c r="FE103" s="374"/>
      <c r="FF103" s="374"/>
      <c r="FG103" s="374"/>
      <c r="FH103" s="374"/>
      <c r="FI103" s="374"/>
      <c r="FJ103" s="374"/>
      <c r="FK103" s="374"/>
      <c r="FL103" s="374"/>
      <c r="FM103" s="374"/>
      <c r="FN103" s="374"/>
      <c r="FO103" s="374"/>
      <c r="FP103" s="374"/>
      <c r="FQ103" s="374"/>
      <c r="FR103" s="374"/>
      <c r="FS103" s="374"/>
      <c r="FT103" s="374"/>
      <c r="FU103" s="374"/>
      <c r="FV103" s="374"/>
      <c r="FW103" s="374"/>
      <c r="FX103" s="374"/>
      <c r="FY103" s="374"/>
      <c r="FZ103" s="374"/>
      <c r="GA103" s="374"/>
      <c r="GB103" s="374"/>
      <c r="GC103" s="374"/>
      <c r="GD103" s="374"/>
      <c r="GE103" s="374"/>
      <c r="GF103" s="374"/>
      <c r="GG103" s="374"/>
      <c r="GH103" s="374"/>
      <c r="GI103" s="374"/>
      <c r="GJ103" s="374"/>
      <c r="GK103" s="374"/>
      <c r="GL103" s="374"/>
      <c r="GM103" s="374"/>
      <c r="GN103" s="374"/>
      <c r="GO103" s="374"/>
      <c r="GP103" s="374"/>
      <c r="GQ103" s="374"/>
      <c r="GR103" s="374"/>
      <c r="GS103" s="374"/>
      <c r="GT103" s="374"/>
      <c r="GU103" s="374"/>
      <c r="GV103" s="374"/>
      <c r="GW103" s="374"/>
      <c r="GX103" s="374"/>
      <c r="GY103" s="374"/>
      <c r="GZ103" s="374"/>
      <c r="HA103" s="374"/>
      <c r="HB103" s="374"/>
      <c r="HC103" s="374"/>
      <c r="HD103" s="374"/>
      <c r="HE103" s="374"/>
      <c r="HF103" s="374"/>
      <c r="HG103" s="374"/>
      <c r="HH103" s="374"/>
      <c r="HI103" s="374"/>
      <c r="HJ103" s="374"/>
      <c r="HK103" s="374"/>
      <c r="HL103" s="374"/>
      <c r="HM103" s="374"/>
      <c r="HN103" s="374"/>
      <c r="HO103" s="374"/>
      <c r="HP103" s="374"/>
      <c r="HQ103" s="374"/>
      <c r="HR103" s="374"/>
      <c r="HS103" s="374"/>
      <c r="HT103" s="374"/>
      <c r="HU103" s="374"/>
      <c r="HV103" s="374"/>
      <c r="HW103" s="374"/>
      <c r="HX103" s="374"/>
      <c r="HY103" s="374"/>
      <c r="HZ103" s="374"/>
      <c r="IA103" s="374"/>
      <c r="IB103" s="374"/>
      <c r="IC103" s="374"/>
      <c r="ID103" s="374"/>
      <c r="IE103" s="374"/>
      <c r="IF103" s="374"/>
      <c r="IG103" s="374"/>
      <c r="IH103" s="374"/>
      <c r="II103" s="374"/>
      <c r="IJ103" s="374"/>
      <c r="IK103" s="374"/>
      <c r="IL103" s="374"/>
      <c r="IM103" s="374"/>
      <c r="IN103" s="374"/>
      <c r="IO103" s="374"/>
      <c r="IP103" s="374"/>
      <c r="IQ103" s="374"/>
      <c r="IR103" s="374"/>
      <c r="IS103" s="374"/>
      <c r="IT103" s="374"/>
      <c r="IU103" s="374"/>
      <c r="IV103" s="374"/>
      <c r="IW103" s="374"/>
      <c r="IX103" s="374"/>
      <c r="IY103" s="374"/>
      <c r="IZ103" s="374"/>
      <c r="JA103" s="374"/>
      <c r="JB103" s="374"/>
      <c r="JC103" s="374"/>
      <c r="JD103" s="374"/>
      <c r="JE103" s="374"/>
      <c r="JF103" s="374"/>
      <c r="JG103" s="374"/>
      <c r="JH103" s="374"/>
      <c r="JI103" s="374"/>
      <c r="JJ103" s="374"/>
      <c r="JK103" s="374"/>
      <c r="JL103" s="374"/>
      <c r="JM103" s="374"/>
      <c r="JN103" s="374"/>
      <c r="JO103" s="374"/>
      <c r="JP103" s="374"/>
      <c r="JQ103" s="374"/>
      <c r="JR103" s="374"/>
      <c r="JS103" s="374"/>
      <c r="JT103" s="374"/>
      <c r="JU103" s="374"/>
      <c r="JV103" s="374"/>
      <c r="JW103" s="374"/>
      <c r="JX103" s="374"/>
      <c r="JY103" s="374"/>
      <c r="JZ103" s="374"/>
      <c r="KA103" s="374"/>
      <c r="KB103" s="374"/>
      <c r="KC103" s="374"/>
      <c r="KD103" s="374"/>
      <c r="KE103" s="374"/>
      <c r="KF103" s="374"/>
      <c r="KG103" s="374"/>
      <c r="KH103" s="374"/>
      <c r="KI103" s="374"/>
      <c r="KJ103" s="374"/>
      <c r="KK103" s="374"/>
      <c r="KL103" s="374"/>
      <c r="KM103" s="374"/>
      <c r="KN103" s="374"/>
      <c r="KO103" s="374"/>
      <c r="KP103" s="374"/>
      <c r="KQ103" s="374"/>
      <c r="KR103" s="374"/>
      <c r="KS103" s="374"/>
      <c r="KT103" s="374"/>
      <c r="KU103" s="374"/>
      <c r="KV103" s="374"/>
      <c r="KW103" s="374"/>
      <c r="KX103" s="374"/>
      <c r="KY103" s="374"/>
      <c r="KZ103" s="374"/>
      <c r="LA103" s="374"/>
      <c r="LB103" s="374"/>
      <c r="LC103" s="374"/>
      <c r="LD103" s="374"/>
      <c r="LE103" s="374"/>
      <c r="LF103" s="374"/>
      <c r="LG103" s="374"/>
      <c r="LH103" s="374"/>
      <c r="LI103" s="374"/>
      <c r="LJ103" s="374"/>
      <c r="LK103" s="374"/>
      <c r="LL103" s="374"/>
      <c r="LM103" s="374"/>
      <c r="LN103" s="374"/>
      <c r="LO103" s="374"/>
      <c r="LP103" s="374"/>
      <c r="LQ103" s="374"/>
    </row>
    <row r="104" spans="1:329" s="259" customFormat="1">
      <c r="A104" s="535"/>
      <c r="B104" s="260"/>
      <c r="C104" s="277"/>
      <c r="D104" s="500">
        <v>1</v>
      </c>
      <c r="E104" s="304" t="s">
        <v>416</v>
      </c>
      <c r="F104" s="466">
        <v>1</v>
      </c>
      <c r="G104" s="310" t="s">
        <v>399</v>
      </c>
      <c r="H104" s="292" t="s">
        <v>415</v>
      </c>
      <c r="I104" s="254" t="s">
        <v>396</v>
      </c>
      <c r="J104" s="254"/>
      <c r="K104" s="254"/>
      <c r="N104" s="374"/>
      <c r="O104" s="374"/>
      <c r="P104" s="374"/>
      <c r="Q104" s="374"/>
      <c r="R104" s="374"/>
      <c r="S104" s="374"/>
      <c r="T104" s="374"/>
      <c r="U104" s="374"/>
      <c r="V104" s="374"/>
      <c r="W104" s="374"/>
      <c r="X104" s="374"/>
      <c r="Y104" s="374"/>
      <c r="Z104" s="374"/>
      <c r="AA104" s="374"/>
      <c r="AB104" s="374"/>
      <c r="AC104" s="374"/>
      <c r="AD104" s="374"/>
      <c r="AE104" s="374"/>
      <c r="AF104" s="374"/>
      <c r="AG104" s="374"/>
      <c r="AH104" s="374"/>
      <c r="AI104" s="374"/>
      <c r="AJ104" s="374"/>
      <c r="AK104" s="374"/>
      <c r="AL104" s="374"/>
      <c r="AM104" s="374"/>
      <c r="AN104" s="374"/>
      <c r="AO104" s="374"/>
      <c r="AP104" s="374"/>
      <c r="AQ104" s="374"/>
      <c r="AR104" s="374"/>
      <c r="AS104" s="374"/>
      <c r="AT104" s="374"/>
      <c r="AU104" s="374"/>
      <c r="AV104" s="374"/>
      <c r="AW104" s="374"/>
      <c r="AX104" s="374"/>
      <c r="AY104" s="374"/>
      <c r="AZ104" s="374"/>
      <c r="BA104" s="374"/>
      <c r="BB104" s="374"/>
      <c r="BC104" s="374"/>
      <c r="BD104" s="374"/>
      <c r="BE104" s="374"/>
      <c r="BF104" s="374"/>
      <c r="BG104" s="374"/>
      <c r="BH104" s="374"/>
      <c r="BI104" s="374"/>
      <c r="BJ104" s="374"/>
      <c r="BK104" s="374"/>
      <c r="BL104" s="374"/>
      <c r="BM104" s="374"/>
      <c r="BN104" s="374"/>
      <c r="BO104" s="374"/>
      <c r="BP104" s="374"/>
      <c r="BQ104" s="374"/>
      <c r="BR104" s="374"/>
      <c r="BS104" s="374"/>
      <c r="BT104" s="374"/>
      <c r="BU104" s="374"/>
      <c r="BV104" s="374"/>
      <c r="BW104" s="374"/>
      <c r="BX104" s="374"/>
      <c r="BY104" s="374"/>
      <c r="BZ104" s="374"/>
      <c r="CA104" s="374"/>
      <c r="CB104" s="374"/>
      <c r="CC104" s="374"/>
      <c r="CD104" s="374"/>
      <c r="CE104" s="374"/>
      <c r="CF104" s="374"/>
      <c r="CG104" s="374"/>
      <c r="CH104" s="374"/>
      <c r="CI104" s="374"/>
      <c r="CJ104" s="374"/>
      <c r="CK104" s="374"/>
      <c r="CL104" s="374"/>
      <c r="CM104" s="374"/>
      <c r="CN104" s="374"/>
      <c r="CO104" s="374"/>
      <c r="CP104" s="374"/>
      <c r="CQ104" s="374"/>
      <c r="CR104" s="374"/>
      <c r="CS104" s="374"/>
      <c r="CT104" s="374"/>
      <c r="CU104" s="374"/>
      <c r="CV104" s="374"/>
      <c r="CW104" s="374"/>
      <c r="CX104" s="374"/>
      <c r="CY104" s="374"/>
      <c r="CZ104" s="374"/>
      <c r="DA104" s="374"/>
      <c r="DB104" s="374"/>
      <c r="DC104" s="374"/>
      <c r="DD104" s="374"/>
      <c r="DE104" s="374"/>
      <c r="DF104" s="374"/>
      <c r="DG104" s="374"/>
      <c r="DH104" s="374"/>
      <c r="DI104" s="374"/>
      <c r="DJ104" s="374"/>
      <c r="DK104" s="374"/>
      <c r="DL104" s="374"/>
      <c r="DM104" s="374"/>
      <c r="DN104" s="374"/>
      <c r="DO104" s="374"/>
      <c r="DP104" s="374"/>
      <c r="DQ104" s="374"/>
      <c r="DR104" s="374"/>
      <c r="DS104" s="374"/>
      <c r="DT104" s="374"/>
      <c r="DU104" s="374"/>
      <c r="DV104" s="374"/>
      <c r="DW104" s="374"/>
      <c r="DX104" s="374"/>
      <c r="DY104" s="374"/>
      <c r="DZ104" s="374"/>
      <c r="EA104" s="374"/>
      <c r="EB104" s="374"/>
      <c r="EC104" s="374"/>
      <c r="ED104" s="374"/>
      <c r="EE104" s="374"/>
      <c r="EF104" s="374"/>
      <c r="EG104" s="374"/>
      <c r="EH104" s="374"/>
      <c r="EI104" s="374"/>
      <c r="EJ104" s="374"/>
      <c r="EK104" s="374"/>
      <c r="EL104" s="374"/>
      <c r="EM104" s="374"/>
      <c r="EN104" s="374"/>
      <c r="EO104" s="374"/>
      <c r="EP104" s="374"/>
      <c r="EQ104" s="374"/>
      <c r="ER104" s="374"/>
      <c r="ES104" s="374"/>
      <c r="ET104" s="374"/>
      <c r="EU104" s="374"/>
      <c r="EV104" s="374"/>
      <c r="EW104" s="374"/>
      <c r="EX104" s="374"/>
      <c r="EY104" s="374"/>
      <c r="EZ104" s="374"/>
      <c r="FA104" s="374"/>
      <c r="FB104" s="374"/>
      <c r="FC104" s="374"/>
      <c r="FD104" s="374"/>
      <c r="FE104" s="374"/>
      <c r="FF104" s="374"/>
      <c r="FG104" s="374"/>
      <c r="FH104" s="374"/>
      <c r="FI104" s="374"/>
      <c r="FJ104" s="374"/>
      <c r="FK104" s="374"/>
      <c r="FL104" s="374"/>
      <c r="FM104" s="374"/>
      <c r="FN104" s="374"/>
      <c r="FO104" s="374"/>
      <c r="FP104" s="374"/>
      <c r="FQ104" s="374"/>
      <c r="FR104" s="374"/>
      <c r="FS104" s="374"/>
      <c r="FT104" s="374"/>
      <c r="FU104" s="374"/>
      <c r="FV104" s="374"/>
      <c r="FW104" s="374"/>
      <c r="FX104" s="374"/>
      <c r="FY104" s="374"/>
      <c r="FZ104" s="374"/>
      <c r="GA104" s="374"/>
      <c r="GB104" s="374"/>
      <c r="GC104" s="374"/>
      <c r="GD104" s="374"/>
      <c r="GE104" s="374"/>
      <c r="GF104" s="374"/>
      <c r="GG104" s="374"/>
      <c r="GH104" s="374"/>
      <c r="GI104" s="374"/>
      <c r="GJ104" s="374"/>
      <c r="GK104" s="374"/>
      <c r="GL104" s="374"/>
      <c r="GM104" s="374"/>
      <c r="GN104" s="374"/>
      <c r="GO104" s="374"/>
      <c r="GP104" s="374"/>
      <c r="GQ104" s="374"/>
      <c r="GR104" s="374"/>
      <c r="GS104" s="374"/>
      <c r="GT104" s="374"/>
      <c r="GU104" s="374"/>
      <c r="GV104" s="374"/>
      <c r="GW104" s="374"/>
      <c r="GX104" s="374"/>
      <c r="GY104" s="374"/>
      <c r="GZ104" s="374"/>
      <c r="HA104" s="374"/>
      <c r="HB104" s="374"/>
      <c r="HC104" s="374"/>
      <c r="HD104" s="374"/>
      <c r="HE104" s="374"/>
      <c r="HF104" s="374"/>
      <c r="HG104" s="374"/>
      <c r="HH104" s="374"/>
      <c r="HI104" s="374"/>
      <c r="HJ104" s="374"/>
      <c r="HK104" s="374"/>
      <c r="HL104" s="374"/>
      <c r="HM104" s="374"/>
      <c r="HN104" s="374"/>
      <c r="HO104" s="374"/>
      <c r="HP104" s="374"/>
      <c r="HQ104" s="374"/>
      <c r="HR104" s="374"/>
      <c r="HS104" s="374"/>
      <c r="HT104" s="374"/>
      <c r="HU104" s="374"/>
      <c r="HV104" s="374"/>
      <c r="HW104" s="374"/>
      <c r="HX104" s="374"/>
      <c r="HY104" s="374"/>
      <c r="HZ104" s="374"/>
      <c r="IA104" s="374"/>
      <c r="IB104" s="374"/>
      <c r="IC104" s="374"/>
      <c r="ID104" s="374"/>
      <c r="IE104" s="374"/>
      <c r="IF104" s="374"/>
      <c r="IG104" s="374"/>
      <c r="IH104" s="374"/>
      <c r="II104" s="374"/>
      <c r="IJ104" s="374"/>
      <c r="IK104" s="374"/>
      <c r="IL104" s="374"/>
      <c r="IM104" s="374"/>
      <c r="IN104" s="374"/>
      <c r="IO104" s="374"/>
      <c r="IP104" s="374"/>
      <c r="IQ104" s="374"/>
      <c r="IR104" s="374"/>
      <c r="IS104" s="374"/>
      <c r="IT104" s="374"/>
      <c r="IU104" s="374"/>
      <c r="IV104" s="374"/>
      <c r="IW104" s="374"/>
      <c r="IX104" s="374"/>
      <c r="IY104" s="374"/>
      <c r="IZ104" s="374"/>
      <c r="JA104" s="374"/>
      <c r="JB104" s="374"/>
      <c r="JC104" s="374"/>
      <c r="JD104" s="374"/>
      <c r="JE104" s="374"/>
      <c r="JF104" s="374"/>
      <c r="JG104" s="374"/>
      <c r="JH104" s="374"/>
      <c r="JI104" s="374"/>
      <c r="JJ104" s="374"/>
      <c r="JK104" s="374"/>
      <c r="JL104" s="374"/>
      <c r="JM104" s="374"/>
      <c r="JN104" s="374"/>
      <c r="JO104" s="374"/>
      <c r="JP104" s="374"/>
      <c r="JQ104" s="374"/>
      <c r="JR104" s="374"/>
      <c r="JS104" s="374"/>
      <c r="JT104" s="374"/>
      <c r="JU104" s="374"/>
      <c r="JV104" s="374"/>
      <c r="JW104" s="374"/>
      <c r="JX104" s="374"/>
      <c r="JY104" s="374"/>
      <c r="JZ104" s="374"/>
      <c r="KA104" s="374"/>
      <c r="KB104" s="374"/>
      <c r="KC104" s="374"/>
      <c r="KD104" s="374"/>
      <c r="KE104" s="374"/>
      <c r="KF104" s="374"/>
      <c r="KG104" s="374"/>
      <c r="KH104" s="374"/>
      <c r="KI104" s="374"/>
      <c r="KJ104" s="374"/>
      <c r="KK104" s="374"/>
      <c r="KL104" s="374"/>
      <c r="KM104" s="374"/>
      <c r="KN104" s="374"/>
      <c r="KO104" s="374"/>
      <c r="KP104" s="374"/>
      <c r="KQ104" s="374"/>
      <c r="KR104" s="374"/>
      <c r="KS104" s="374"/>
      <c r="KT104" s="374"/>
      <c r="KU104" s="374"/>
      <c r="KV104" s="374"/>
      <c r="KW104" s="374"/>
      <c r="KX104" s="374"/>
      <c r="KY104" s="374"/>
      <c r="KZ104" s="374"/>
      <c r="LA104" s="374"/>
      <c r="LB104" s="374"/>
      <c r="LC104" s="374"/>
      <c r="LD104" s="374"/>
      <c r="LE104" s="374"/>
      <c r="LF104" s="374"/>
      <c r="LG104" s="374"/>
      <c r="LH104" s="374"/>
      <c r="LI104" s="374"/>
      <c r="LJ104" s="374"/>
      <c r="LK104" s="374"/>
      <c r="LL104" s="374"/>
      <c r="LM104" s="374"/>
      <c r="LN104" s="374"/>
      <c r="LO104" s="374"/>
      <c r="LP104" s="374"/>
      <c r="LQ104" s="374"/>
    </row>
    <row r="105" spans="1:329" s="259" customFormat="1">
      <c r="A105" s="535"/>
      <c r="B105" s="260"/>
      <c r="C105" s="277"/>
      <c r="D105" s="500">
        <v>2</v>
      </c>
      <c r="E105" s="304" t="s">
        <v>417</v>
      </c>
      <c r="F105" s="466">
        <v>1</v>
      </c>
      <c r="G105" s="310" t="s">
        <v>399</v>
      </c>
      <c r="H105" s="292" t="s">
        <v>415</v>
      </c>
      <c r="I105" s="254" t="s">
        <v>396</v>
      </c>
      <c r="J105" s="254"/>
      <c r="K105" s="254"/>
      <c r="N105" s="374"/>
      <c r="O105" s="374"/>
      <c r="P105" s="374"/>
      <c r="Q105" s="374"/>
      <c r="R105" s="374"/>
      <c r="S105" s="374"/>
      <c r="T105" s="374"/>
      <c r="U105" s="374"/>
      <c r="V105" s="374"/>
      <c r="W105" s="374"/>
      <c r="X105" s="374"/>
      <c r="Y105" s="374"/>
      <c r="Z105" s="374"/>
      <c r="AA105" s="374"/>
      <c r="AB105" s="374"/>
      <c r="AC105" s="374"/>
      <c r="AD105" s="374"/>
      <c r="AE105" s="374"/>
      <c r="AF105" s="374"/>
      <c r="AG105" s="374"/>
      <c r="AH105" s="374"/>
      <c r="AI105" s="374"/>
      <c r="AJ105" s="374"/>
      <c r="AK105" s="374"/>
      <c r="AL105" s="374"/>
      <c r="AM105" s="374"/>
      <c r="AN105" s="374"/>
      <c r="AO105" s="374"/>
      <c r="AP105" s="374"/>
      <c r="AQ105" s="374"/>
      <c r="AR105" s="374"/>
      <c r="AS105" s="374"/>
      <c r="AT105" s="374"/>
      <c r="AU105" s="374"/>
      <c r="AV105" s="374"/>
      <c r="AW105" s="374"/>
      <c r="AX105" s="374"/>
      <c r="AY105" s="374"/>
      <c r="AZ105" s="374"/>
      <c r="BA105" s="374"/>
      <c r="BB105" s="374"/>
      <c r="BC105" s="374"/>
      <c r="BD105" s="374"/>
      <c r="BE105" s="374"/>
      <c r="BF105" s="374"/>
      <c r="BG105" s="374"/>
      <c r="BH105" s="374"/>
      <c r="BI105" s="374"/>
      <c r="BJ105" s="374"/>
      <c r="BK105" s="374"/>
      <c r="BL105" s="374"/>
      <c r="BM105" s="374"/>
      <c r="BN105" s="374"/>
      <c r="BO105" s="374"/>
      <c r="BP105" s="374"/>
      <c r="BQ105" s="374"/>
      <c r="BR105" s="374"/>
      <c r="BS105" s="374"/>
      <c r="BT105" s="374"/>
      <c r="BU105" s="374"/>
      <c r="BV105" s="374"/>
      <c r="BW105" s="374"/>
      <c r="BX105" s="374"/>
      <c r="BY105" s="374"/>
      <c r="BZ105" s="374"/>
      <c r="CA105" s="374"/>
      <c r="CB105" s="374"/>
      <c r="CC105" s="374"/>
      <c r="CD105" s="374"/>
      <c r="CE105" s="374"/>
      <c r="CF105" s="374"/>
      <c r="CG105" s="374"/>
      <c r="CH105" s="374"/>
      <c r="CI105" s="374"/>
      <c r="CJ105" s="374"/>
      <c r="CK105" s="374"/>
      <c r="CL105" s="374"/>
      <c r="CM105" s="374"/>
      <c r="CN105" s="374"/>
      <c r="CO105" s="374"/>
      <c r="CP105" s="374"/>
      <c r="CQ105" s="374"/>
      <c r="CR105" s="374"/>
      <c r="CS105" s="374"/>
      <c r="CT105" s="374"/>
      <c r="CU105" s="374"/>
      <c r="CV105" s="374"/>
      <c r="CW105" s="374"/>
      <c r="CX105" s="374"/>
      <c r="CY105" s="374"/>
      <c r="CZ105" s="374"/>
      <c r="DA105" s="374"/>
      <c r="DB105" s="374"/>
      <c r="DC105" s="374"/>
      <c r="DD105" s="374"/>
      <c r="DE105" s="374"/>
      <c r="DF105" s="374"/>
      <c r="DG105" s="374"/>
      <c r="DH105" s="374"/>
      <c r="DI105" s="374"/>
      <c r="DJ105" s="374"/>
      <c r="DK105" s="374"/>
      <c r="DL105" s="374"/>
      <c r="DM105" s="374"/>
      <c r="DN105" s="374"/>
      <c r="DO105" s="374"/>
      <c r="DP105" s="374"/>
      <c r="DQ105" s="374"/>
      <c r="DR105" s="374"/>
      <c r="DS105" s="374"/>
      <c r="DT105" s="374"/>
      <c r="DU105" s="374"/>
      <c r="DV105" s="374"/>
      <c r="DW105" s="374"/>
      <c r="DX105" s="374"/>
      <c r="DY105" s="374"/>
      <c r="DZ105" s="374"/>
      <c r="EA105" s="374"/>
      <c r="EB105" s="374"/>
      <c r="EC105" s="374"/>
      <c r="ED105" s="374"/>
      <c r="EE105" s="374"/>
      <c r="EF105" s="374"/>
      <c r="EG105" s="374"/>
      <c r="EH105" s="374"/>
      <c r="EI105" s="374"/>
      <c r="EJ105" s="374"/>
      <c r="EK105" s="374"/>
      <c r="EL105" s="374"/>
      <c r="EM105" s="374"/>
      <c r="EN105" s="374"/>
      <c r="EO105" s="374"/>
      <c r="EP105" s="374"/>
      <c r="EQ105" s="374"/>
      <c r="ER105" s="374"/>
      <c r="ES105" s="374"/>
      <c r="ET105" s="374"/>
      <c r="EU105" s="374"/>
      <c r="EV105" s="374"/>
      <c r="EW105" s="374"/>
      <c r="EX105" s="374"/>
      <c r="EY105" s="374"/>
      <c r="EZ105" s="374"/>
      <c r="FA105" s="374"/>
      <c r="FB105" s="374"/>
      <c r="FC105" s="374"/>
      <c r="FD105" s="374"/>
      <c r="FE105" s="374"/>
      <c r="FF105" s="374"/>
      <c r="FG105" s="374"/>
      <c r="FH105" s="374"/>
      <c r="FI105" s="374"/>
      <c r="FJ105" s="374"/>
      <c r="FK105" s="374"/>
      <c r="FL105" s="374"/>
      <c r="FM105" s="374"/>
      <c r="FN105" s="374"/>
      <c r="FO105" s="374"/>
      <c r="FP105" s="374"/>
      <c r="FQ105" s="374"/>
      <c r="FR105" s="374"/>
      <c r="FS105" s="374"/>
      <c r="FT105" s="374"/>
      <c r="FU105" s="374"/>
      <c r="FV105" s="374"/>
      <c r="FW105" s="374"/>
      <c r="FX105" s="374"/>
      <c r="FY105" s="374"/>
      <c r="FZ105" s="374"/>
      <c r="GA105" s="374"/>
      <c r="GB105" s="374"/>
      <c r="GC105" s="374"/>
      <c r="GD105" s="374"/>
      <c r="GE105" s="374"/>
      <c r="GF105" s="374"/>
      <c r="GG105" s="374"/>
      <c r="GH105" s="374"/>
      <c r="GI105" s="374"/>
      <c r="GJ105" s="374"/>
      <c r="GK105" s="374"/>
      <c r="GL105" s="374"/>
      <c r="GM105" s="374"/>
      <c r="GN105" s="374"/>
      <c r="GO105" s="374"/>
      <c r="GP105" s="374"/>
      <c r="GQ105" s="374"/>
      <c r="GR105" s="374"/>
      <c r="GS105" s="374"/>
      <c r="GT105" s="374"/>
      <c r="GU105" s="374"/>
      <c r="GV105" s="374"/>
      <c r="GW105" s="374"/>
      <c r="GX105" s="374"/>
      <c r="GY105" s="374"/>
      <c r="GZ105" s="374"/>
      <c r="HA105" s="374"/>
      <c r="HB105" s="374"/>
      <c r="HC105" s="374"/>
      <c r="HD105" s="374"/>
      <c r="HE105" s="374"/>
      <c r="HF105" s="374"/>
      <c r="HG105" s="374"/>
      <c r="HH105" s="374"/>
      <c r="HI105" s="374"/>
      <c r="HJ105" s="374"/>
      <c r="HK105" s="374"/>
      <c r="HL105" s="374"/>
      <c r="HM105" s="374"/>
      <c r="HN105" s="374"/>
      <c r="HO105" s="374"/>
      <c r="HP105" s="374"/>
      <c r="HQ105" s="374"/>
      <c r="HR105" s="374"/>
      <c r="HS105" s="374"/>
      <c r="HT105" s="374"/>
      <c r="HU105" s="374"/>
      <c r="HV105" s="374"/>
      <c r="HW105" s="374"/>
      <c r="HX105" s="374"/>
      <c r="HY105" s="374"/>
      <c r="HZ105" s="374"/>
      <c r="IA105" s="374"/>
      <c r="IB105" s="374"/>
      <c r="IC105" s="374"/>
      <c r="ID105" s="374"/>
      <c r="IE105" s="374"/>
      <c r="IF105" s="374"/>
      <c r="IG105" s="374"/>
      <c r="IH105" s="374"/>
      <c r="II105" s="374"/>
      <c r="IJ105" s="374"/>
      <c r="IK105" s="374"/>
      <c r="IL105" s="374"/>
      <c r="IM105" s="374"/>
      <c r="IN105" s="374"/>
      <c r="IO105" s="374"/>
      <c r="IP105" s="374"/>
      <c r="IQ105" s="374"/>
      <c r="IR105" s="374"/>
      <c r="IS105" s="374"/>
      <c r="IT105" s="374"/>
      <c r="IU105" s="374"/>
      <c r="IV105" s="374"/>
      <c r="IW105" s="374"/>
      <c r="IX105" s="374"/>
      <c r="IY105" s="374"/>
      <c r="IZ105" s="374"/>
      <c r="JA105" s="374"/>
      <c r="JB105" s="374"/>
      <c r="JC105" s="374"/>
      <c r="JD105" s="374"/>
      <c r="JE105" s="374"/>
      <c r="JF105" s="374"/>
      <c r="JG105" s="374"/>
      <c r="JH105" s="374"/>
      <c r="JI105" s="374"/>
      <c r="JJ105" s="374"/>
      <c r="JK105" s="374"/>
      <c r="JL105" s="374"/>
      <c r="JM105" s="374"/>
      <c r="JN105" s="374"/>
      <c r="JO105" s="374"/>
      <c r="JP105" s="374"/>
      <c r="JQ105" s="374"/>
      <c r="JR105" s="374"/>
      <c r="JS105" s="374"/>
      <c r="JT105" s="374"/>
      <c r="JU105" s="374"/>
      <c r="JV105" s="374"/>
      <c r="JW105" s="374"/>
      <c r="JX105" s="374"/>
      <c r="JY105" s="374"/>
      <c r="JZ105" s="374"/>
      <c r="KA105" s="374"/>
      <c r="KB105" s="374"/>
      <c r="KC105" s="374"/>
      <c r="KD105" s="374"/>
      <c r="KE105" s="374"/>
      <c r="KF105" s="374"/>
      <c r="KG105" s="374"/>
      <c r="KH105" s="374"/>
      <c r="KI105" s="374"/>
      <c r="KJ105" s="374"/>
      <c r="KK105" s="374"/>
      <c r="KL105" s="374"/>
      <c r="KM105" s="374"/>
      <c r="KN105" s="374"/>
      <c r="KO105" s="374"/>
      <c r="KP105" s="374"/>
      <c r="KQ105" s="374"/>
      <c r="KR105" s="374"/>
      <c r="KS105" s="374"/>
      <c r="KT105" s="374"/>
      <c r="KU105" s="374"/>
      <c r="KV105" s="374"/>
      <c r="KW105" s="374"/>
      <c r="KX105" s="374"/>
      <c r="KY105" s="374"/>
      <c r="KZ105" s="374"/>
      <c r="LA105" s="374"/>
      <c r="LB105" s="374"/>
      <c r="LC105" s="374"/>
      <c r="LD105" s="374"/>
      <c r="LE105" s="374"/>
      <c r="LF105" s="374"/>
      <c r="LG105" s="374"/>
      <c r="LH105" s="374"/>
      <c r="LI105" s="374"/>
      <c r="LJ105" s="374"/>
      <c r="LK105" s="374"/>
      <c r="LL105" s="374"/>
      <c r="LM105" s="374"/>
      <c r="LN105" s="374"/>
      <c r="LO105" s="374"/>
      <c r="LP105" s="374"/>
      <c r="LQ105" s="374"/>
    </row>
    <row r="106" spans="1:329">
      <c r="A106" s="530" t="s">
        <v>501</v>
      </c>
      <c r="B106" s="277" t="s">
        <v>418</v>
      </c>
      <c r="C106" s="277"/>
      <c r="D106" s="810" t="str">
        <f>HYPERLINK("#"&amp;"HPSBV.2_Ref","Rapidly Renewable Materials (HPSB GP5)")</f>
        <v>Rapidly Renewable Materials (HPSB GP5)</v>
      </c>
      <c r="E106" s="807"/>
      <c r="F106" s="462">
        <v>1</v>
      </c>
      <c r="G106" s="258" t="s">
        <v>399</v>
      </c>
    </row>
    <row r="107" spans="1:329">
      <c r="A107" s="530" t="s">
        <v>465</v>
      </c>
      <c r="B107" s="278" t="s">
        <v>419</v>
      </c>
      <c r="C107" s="278"/>
      <c r="D107" s="813" t="str">
        <f>HYPERLINK("#"&amp;"HPSBV.2_Ref","Certified Wood (HPSB GP5)")</f>
        <v>Certified Wood (HPSB GP5)</v>
      </c>
      <c r="E107" s="814"/>
      <c r="F107" s="463">
        <v>1</v>
      </c>
      <c r="G107" s="258" t="s">
        <v>399</v>
      </c>
    </row>
    <row r="108" spans="1:329" s="259" customFormat="1">
      <c r="A108" s="527" t="s">
        <v>420</v>
      </c>
      <c r="B108" s="288"/>
      <c r="C108" s="288"/>
      <c r="D108" s="492"/>
      <c r="E108" s="272"/>
      <c r="F108" s="468"/>
      <c r="G108" s="258"/>
      <c r="H108" s="254"/>
      <c r="I108" s="254"/>
      <c r="J108" s="254"/>
      <c r="K108" s="254"/>
      <c r="N108" s="374"/>
      <c r="O108" s="374"/>
      <c r="P108" s="374"/>
      <c r="Q108" s="374"/>
      <c r="R108" s="374"/>
      <c r="S108" s="374"/>
      <c r="T108" s="374"/>
      <c r="U108" s="374"/>
      <c r="V108" s="374"/>
      <c r="W108" s="374"/>
      <c r="X108" s="374"/>
      <c r="Y108" s="374"/>
      <c r="Z108" s="374"/>
      <c r="AA108" s="374"/>
      <c r="AB108" s="374"/>
      <c r="AC108" s="374"/>
      <c r="AD108" s="374"/>
      <c r="AE108" s="374"/>
      <c r="AF108" s="374"/>
      <c r="AG108" s="374"/>
      <c r="AH108" s="374"/>
      <c r="AI108" s="374"/>
      <c r="AJ108" s="374"/>
      <c r="AK108" s="374"/>
      <c r="AL108" s="374"/>
      <c r="AM108" s="374"/>
      <c r="AN108" s="374"/>
      <c r="AO108" s="374"/>
      <c r="AP108" s="374"/>
      <c r="AQ108" s="374"/>
      <c r="AR108" s="374"/>
      <c r="AS108" s="374"/>
      <c r="AT108" s="374"/>
      <c r="AU108" s="374"/>
      <c r="AV108" s="374"/>
      <c r="AW108" s="374"/>
      <c r="AX108" s="374"/>
      <c r="AY108" s="374"/>
      <c r="AZ108" s="374"/>
      <c r="BA108" s="374"/>
      <c r="BB108" s="374"/>
      <c r="BC108" s="374"/>
      <c r="BD108" s="374"/>
      <c r="BE108" s="374"/>
      <c r="BF108" s="374"/>
      <c r="BG108" s="374"/>
      <c r="BH108" s="374"/>
      <c r="BI108" s="374"/>
      <c r="BJ108" s="374"/>
      <c r="BK108" s="374"/>
      <c r="BL108" s="374"/>
      <c r="BM108" s="374"/>
      <c r="BN108" s="374"/>
      <c r="BO108" s="374"/>
      <c r="BP108" s="374"/>
      <c r="BQ108" s="374"/>
      <c r="BR108" s="374"/>
      <c r="BS108" s="374"/>
      <c r="BT108" s="374"/>
      <c r="BU108" s="374"/>
      <c r="BV108" s="374"/>
      <c r="BW108" s="374"/>
      <c r="BX108" s="374"/>
      <c r="BY108" s="374"/>
      <c r="BZ108" s="374"/>
      <c r="CA108" s="374"/>
      <c r="CB108" s="374"/>
      <c r="CC108" s="374"/>
      <c r="CD108" s="374"/>
      <c r="CE108" s="374"/>
      <c r="CF108" s="374"/>
      <c r="CG108" s="374"/>
      <c r="CH108" s="374"/>
      <c r="CI108" s="374"/>
      <c r="CJ108" s="374"/>
      <c r="CK108" s="374"/>
      <c r="CL108" s="374"/>
      <c r="CM108" s="374"/>
      <c r="CN108" s="374"/>
      <c r="CO108" s="374"/>
      <c r="CP108" s="374"/>
      <c r="CQ108" s="374"/>
      <c r="CR108" s="374"/>
      <c r="CS108" s="374"/>
      <c r="CT108" s="374"/>
      <c r="CU108" s="374"/>
      <c r="CV108" s="374"/>
      <c r="CW108" s="374"/>
      <c r="CX108" s="374"/>
      <c r="CY108" s="374"/>
      <c r="CZ108" s="374"/>
      <c r="DA108" s="374"/>
      <c r="DB108" s="374"/>
      <c r="DC108" s="374"/>
      <c r="DD108" s="374"/>
      <c r="DE108" s="374"/>
      <c r="DF108" s="374"/>
      <c r="DG108" s="374"/>
      <c r="DH108" s="374"/>
      <c r="DI108" s="374"/>
      <c r="DJ108" s="374"/>
      <c r="DK108" s="374"/>
      <c r="DL108" s="374"/>
      <c r="DM108" s="374"/>
      <c r="DN108" s="374"/>
      <c r="DO108" s="374"/>
      <c r="DP108" s="374"/>
      <c r="DQ108" s="374"/>
      <c r="DR108" s="374"/>
      <c r="DS108" s="374"/>
      <c r="DT108" s="374"/>
      <c r="DU108" s="374"/>
      <c r="DV108" s="374"/>
      <c r="DW108" s="374"/>
      <c r="DX108" s="374"/>
      <c r="DY108" s="374"/>
      <c r="DZ108" s="374"/>
      <c r="EA108" s="374"/>
      <c r="EB108" s="374"/>
      <c r="EC108" s="374"/>
      <c r="ED108" s="374"/>
      <c r="EE108" s="374"/>
      <c r="EF108" s="374"/>
      <c r="EG108" s="374"/>
      <c r="EH108" s="374"/>
      <c r="EI108" s="374"/>
      <c r="EJ108" s="374"/>
      <c r="EK108" s="374"/>
      <c r="EL108" s="374"/>
      <c r="EM108" s="374"/>
      <c r="EN108" s="374"/>
      <c r="EO108" s="374"/>
      <c r="EP108" s="374"/>
      <c r="EQ108" s="374"/>
      <c r="ER108" s="374"/>
      <c r="ES108" s="374"/>
      <c r="ET108" s="374"/>
      <c r="EU108" s="374"/>
      <c r="EV108" s="374"/>
      <c r="EW108" s="374"/>
      <c r="EX108" s="374"/>
      <c r="EY108" s="374"/>
      <c r="EZ108" s="374"/>
      <c r="FA108" s="374"/>
      <c r="FB108" s="374"/>
      <c r="FC108" s="374"/>
      <c r="FD108" s="374"/>
      <c r="FE108" s="374"/>
      <c r="FF108" s="374"/>
      <c r="FG108" s="374"/>
      <c r="FH108" s="374"/>
      <c r="FI108" s="374"/>
      <c r="FJ108" s="374"/>
      <c r="FK108" s="374"/>
      <c r="FL108" s="374"/>
      <c r="FM108" s="374"/>
      <c r="FN108" s="374"/>
      <c r="FO108" s="374"/>
      <c r="FP108" s="374"/>
      <c r="FQ108" s="374"/>
      <c r="FR108" s="374"/>
      <c r="FS108" s="374"/>
      <c r="FT108" s="374"/>
      <c r="FU108" s="374"/>
      <c r="FV108" s="374"/>
      <c r="FW108" s="374"/>
      <c r="FX108" s="374"/>
      <c r="FY108" s="374"/>
      <c r="FZ108" s="374"/>
      <c r="GA108" s="374"/>
      <c r="GB108" s="374"/>
      <c r="GC108" s="374"/>
      <c r="GD108" s="374"/>
      <c r="GE108" s="374"/>
      <c r="GF108" s="374"/>
      <c r="GG108" s="374"/>
      <c r="GH108" s="374"/>
      <c r="GI108" s="374"/>
      <c r="GJ108" s="374"/>
      <c r="GK108" s="374"/>
      <c r="GL108" s="374"/>
      <c r="GM108" s="374"/>
      <c r="GN108" s="374"/>
      <c r="GO108" s="374"/>
      <c r="GP108" s="374"/>
      <c r="GQ108" s="374"/>
      <c r="GR108" s="374"/>
      <c r="GS108" s="374"/>
      <c r="GT108" s="374"/>
      <c r="GU108" s="374"/>
      <c r="GV108" s="374"/>
      <c r="GW108" s="374"/>
      <c r="GX108" s="374"/>
      <c r="GY108" s="374"/>
      <c r="GZ108" s="374"/>
      <c r="HA108" s="374"/>
      <c r="HB108" s="374"/>
      <c r="HC108" s="374"/>
      <c r="HD108" s="374"/>
      <c r="HE108" s="374"/>
      <c r="HF108" s="374"/>
      <c r="HG108" s="374"/>
      <c r="HH108" s="374"/>
      <c r="HI108" s="374"/>
      <c r="HJ108" s="374"/>
      <c r="HK108" s="374"/>
      <c r="HL108" s="374"/>
      <c r="HM108" s="374"/>
      <c r="HN108" s="374"/>
      <c r="HO108" s="374"/>
      <c r="HP108" s="374"/>
      <c r="HQ108" s="374"/>
      <c r="HR108" s="374"/>
      <c r="HS108" s="374"/>
      <c r="HT108" s="374"/>
      <c r="HU108" s="374"/>
      <c r="HV108" s="374"/>
      <c r="HW108" s="374"/>
      <c r="HX108" s="374"/>
      <c r="HY108" s="374"/>
      <c r="HZ108" s="374"/>
      <c r="IA108" s="374"/>
      <c r="IB108" s="374"/>
      <c r="IC108" s="374"/>
      <c r="ID108" s="374"/>
      <c r="IE108" s="374"/>
      <c r="IF108" s="374"/>
      <c r="IG108" s="374"/>
      <c r="IH108" s="374"/>
      <c r="II108" s="374"/>
      <c r="IJ108" s="374"/>
      <c r="IK108" s="374"/>
      <c r="IL108" s="374"/>
      <c r="IM108" s="374"/>
      <c r="IN108" s="374"/>
      <c r="IO108" s="374"/>
      <c r="IP108" s="374"/>
      <c r="IQ108" s="374"/>
      <c r="IR108" s="374"/>
      <c r="IS108" s="374"/>
      <c r="IT108" s="374"/>
      <c r="IU108" s="374"/>
      <c r="IV108" s="374"/>
      <c r="IW108" s="374"/>
      <c r="IX108" s="374"/>
      <c r="IY108" s="374"/>
      <c r="IZ108" s="374"/>
      <c r="JA108" s="374"/>
      <c r="JB108" s="374"/>
      <c r="JC108" s="374"/>
      <c r="JD108" s="374"/>
      <c r="JE108" s="374"/>
      <c r="JF108" s="374"/>
      <c r="JG108" s="374"/>
      <c r="JH108" s="374"/>
      <c r="JI108" s="374"/>
      <c r="JJ108" s="374"/>
      <c r="JK108" s="374"/>
      <c r="JL108" s="374"/>
      <c r="JM108" s="374"/>
      <c r="JN108" s="374"/>
      <c r="JO108" s="374"/>
      <c r="JP108" s="374"/>
      <c r="JQ108" s="374"/>
      <c r="JR108" s="374"/>
      <c r="JS108" s="374"/>
      <c r="JT108" s="374"/>
      <c r="JU108" s="374"/>
      <c r="JV108" s="374"/>
      <c r="JW108" s="374"/>
      <c r="JX108" s="374"/>
      <c r="JY108" s="374"/>
      <c r="JZ108" s="374"/>
      <c r="KA108" s="374"/>
      <c r="KB108" s="374"/>
      <c r="KC108" s="374"/>
      <c r="KD108" s="374"/>
      <c r="KE108" s="374"/>
      <c r="KF108" s="374"/>
      <c r="KG108" s="374"/>
      <c r="KH108" s="374"/>
      <c r="KI108" s="374"/>
      <c r="KJ108" s="374"/>
      <c r="KK108" s="374"/>
      <c r="KL108" s="374"/>
      <c r="KM108" s="374"/>
      <c r="KN108" s="374"/>
      <c r="KO108" s="374"/>
      <c r="KP108" s="374"/>
      <c r="KQ108" s="374"/>
      <c r="KR108" s="374"/>
      <c r="KS108" s="374"/>
      <c r="KT108" s="374"/>
      <c r="KU108" s="374"/>
      <c r="KV108" s="374"/>
      <c r="KW108" s="374"/>
      <c r="KX108" s="374"/>
      <c r="KY108" s="374"/>
      <c r="KZ108" s="374"/>
      <c r="LA108" s="374"/>
      <c r="LB108" s="374"/>
      <c r="LC108" s="374"/>
      <c r="LD108" s="374"/>
      <c r="LE108" s="374"/>
      <c r="LF108" s="374"/>
      <c r="LG108" s="374"/>
      <c r="LH108" s="374"/>
      <c r="LI108" s="374"/>
      <c r="LJ108" s="374"/>
      <c r="LK108" s="374"/>
      <c r="LL108" s="374"/>
      <c r="LM108" s="374"/>
      <c r="LN108" s="374"/>
      <c r="LO108" s="374"/>
      <c r="LP108" s="374"/>
      <c r="LQ108" s="374"/>
    </row>
    <row r="109" spans="1:329" s="259" customFormat="1">
      <c r="A109" s="528" t="s">
        <v>243</v>
      </c>
      <c r="B109" s="593">
        <f>COUNTIF(A112:A126,"Yes")</f>
        <v>10</v>
      </c>
      <c r="C109" s="290"/>
      <c r="D109" s="493"/>
      <c r="E109" s="270" t="s">
        <v>244</v>
      </c>
      <c r="F109" s="460">
        <f>SUM(F112:F126)</f>
        <v>15</v>
      </c>
      <c r="G109" s="258"/>
      <c r="H109" s="254"/>
      <c r="I109" s="254"/>
      <c r="J109" s="254"/>
      <c r="K109" s="254"/>
      <c r="N109" s="374"/>
      <c r="O109" s="374"/>
      <c r="P109" s="374"/>
      <c r="Q109" s="374"/>
      <c r="R109" s="374"/>
      <c r="S109" s="374"/>
      <c r="T109" s="374"/>
      <c r="U109" s="374"/>
      <c r="V109" s="374"/>
      <c r="W109" s="374"/>
      <c r="X109" s="374"/>
      <c r="Y109" s="374"/>
      <c r="Z109" s="374"/>
      <c r="AA109" s="374"/>
      <c r="AB109" s="374"/>
      <c r="AC109" s="374"/>
      <c r="AD109" s="374"/>
      <c r="AE109" s="374"/>
      <c r="AF109" s="374"/>
      <c r="AG109" s="374"/>
      <c r="AH109" s="374"/>
      <c r="AI109" s="374"/>
      <c r="AJ109" s="374"/>
      <c r="AK109" s="374"/>
      <c r="AL109" s="374"/>
      <c r="AM109" s="374"/>
      <c r="AN109" s="374"/>
      <c r="AO109" s="374"/>
      <c r="AP109" s="374"/>
      <c r="AQ109" s="374"/>
      <c r="AR109" s="374"/>
      <c r="AS109" s="374"/>
      <c r="AT109" s="374"/>
      <c r="AU109" s="374"/>
      <c r="AV109" s="374"/>
      <c r="AW109" s="374"/>
      <c r="AX109" s="374"/>
      <c r="AY109" s="374"/>
      <c r="AZ109" s="374"/>
      <c r="BA109" s="374"/>
      <c r="BB109" s="374"/>
      <c r="BC109" s="374"/>
      <c r="BD109" s="374"/>
      <c r="BE109" s="374"/>
      <c r="BF109" s="374"/>
      <c r="BG109" s="374"/>
      <c r="BH109" s="374"/>
      <c r="BI109" s="374"/>
      <c r="BJ109" s="374"/>
      <c r="BK109" s="374"/>
      <c r="BL109" s="374"/>
      <c r="BM109" s="374"/>
      <c r="BN109" s="374"/>
      <c r="BO109" s="374"/>
      <c r="BP109" s="374"/>
      <c r="BQ109" s="374"/>
      <c r="BR109" s="374"/>
      <c r="BS109" s="374"/>
      <c r="BT109" s="374"/>
      <c r="BU109" s="374"/>
      <c r="BV109" s="374"/>
      <c r="BW109" s="374"/>
      <c r="BX109" s="374"/>
      <c r="BY109" s="374"/>
      <c r="BZ109" s="374"/>
      <c r="CA109" s="374"/>
      <c r="CB109" s="374"/>
      <c r="CC109" s="374"/>
      <c r="CD109" s="374"/>
      <c r="CE109" s="374"/>
      <c r="CF109" s="374"/>
      <c r="CG109" s="374"/>
      <c r="CH109" s="374"/>
      <c r="CI109" s="374"/>
      <c r="CJ109" s="374"/>
      <c r="CK109" s="374"/>
      <c r="CL109" s="374"/>
      <c r="CM109" s="374"/>
      <c r="CN109" s="374"/>
      <c r="CO109" s="374"/>
      <c r="CP109" s="374"/>
      <c r="CQ109" s="374"/>
      <c r="CR109" s="374"/>
      <c r="CS109" s="374"/>
      <c r="CT109" s="374"/>
      <c r="CU109" s="374"/>
      <c r="CV109" s="374"/>
      <c r="CW109" s="374"/>
      <c r="CX109" s="374"/>
      <c r="CY109" s="374"/>
      <c r="CZ109" s="374"/>
      <c r="DA109" s="374"/>
      <c r="DB109" s="374"/>
      <c r="DC109" s="374"/>
      <c r="DD109" s="374"/>
      <c r="DE109" s="374"/>
      <c r="DF109" s="374"/>
      <c r="DG109" s="374"/>
      <c r="DH109" s="374"/>
      <c r="DI109" s="374"/>
      <c r="DJ109" s="374"/>
      <c r="DK109" s="374"/>
      <c r="DL109" s="374"/>
      <c r="DM109" s="374"/>
      <c r="DN109" s="374"/>
      <c r="DO109" s="374"/>
      <c r="DP109" s="374"/>
      <c r="DQ109" s="374"/>
      <c r="DR109" s="374"/>
      <c r="DS109" s="374"/>
      <c r="DT109" s="374"/>
      <c r="DU109" s="374"/>
      <c r="DV109" s="374"/>
      <c r="DW109" s="374"/>
      <c r="DX109" s="374"/>
      <c r="DY109" s="374"/>
      <c r="DZ109" s="374"/>
      <c r="EA109" s="374"/>
      <c r="EB109" s="374"/>
      <c r="EC109" s="374"/>
      <c r="ED109" s="374"/>
      <c r="EE109" s="374"/>
      <c r="EF109" s="374"/>
      <c r="EG109" s="374"/>
      <c r="EH109" s="374"/>
      <c r="EI109" s="374"/>
      <c r="EJ109" s="374"/>
      <c r="EK109" s="374"/>
      <c r="EL109" s="374"/>
      <c r="EM109" s="374"/>
      <c r="EN109" s="374"/>
      <c r="EO109" s="374"/>
      <c r="EP109" s="374"/>
      <c r="EQ109" s="374"/>
      <c r="ER109" s="374"/>
      <c r="ES109" s="374"/>
      <c r="ET109" s="374"/>
      <c r="EU109" s="374"/>
      <c r="EV109" s="374"/>
      <c r="EW109" s="374"/>
      <c r="EX109" s="374"/>
      <c r="EY109" s="374"/>
      <c r="EZ109" s="374"/>
      <c r="FA109" s="374"/>
      <c r="FB109" s="374"/>
      <c r="FC109" s="374"/>
      <c r="FD109" s="374"/>
      <c r="FE109" s="374"/>
      <c r="FF109" s="374"/>
      <c r="FG109" s="374"/>
      <c r="FH109" s="374"/>
      <c r="FI109" s="374"/>
      <c r="FJ109" s="374"/>
      <c r="FK109" s="374"/>
      <c r="FL109" s="374"/>
      <c r="FM109" s="374"/>
      <c r="FN109" s="374"/>
      <c r="FO109" s="374"/>
      <c r="FP109" s="374"/>
      <c r="FQ109" s="374"/>
      <c r="FR109" s="374"/>
      <c r="FS109" s="374"/>
      <c r="FT109" s="374"/>
      <c r="FU109" s="374"/>
      <c r="FV109" s="374"/>
      <c r="FW109" s="374"/>
      <c r="FX109" s="374"/>
      <c r="FY109" s="374"/>
      <c r="FZ109" s="374"/>
      <c r="GA109" s="374"/>
      <c r="GB109" s="374"/>
      <c r="GC109" s="374"/>
      <c r="GD109" s="374"/>
      <c r="GE109" s="374"/>
      <c r="GF109" s="374"/>
      <c r="GG109" s="374"/>
      <c r="GH109" s="374"/>
      <c r="GI109" s="374"/>
      <c r="GJ109" s="374"/>
      <c r="GK109" s="374"/>
      <c r="GL109" s="374"/>
      <c r="GM109" s="374"/>
      <c r="GN109" s="374"/>
      <c r="GO109" s="374"/>
      <c r="GP109" s="374"/>
      <c r="GQ109" s="374"/>
      <c r="GR109" s="374"/>
      <c r="GS109" s="374"/>
      <c r="GT109" s="374"/>
      <c r="GU109" s="374"/>
      <c r="GV109" s="374"/>
      <c r="GW109" s="374"/>
      <c r="GX109" s="374"/>
      <c r="GY109" s="374"/>
      <c r="GZ109" s="374"/>
      <c r="HA109" s="374"/>
      <c r="HB109" s="374"/>
      <c r="HC109" s="374"/>
      <c r="HD109" s="374"/>
      <c r="HE109" s="374"/>
      <c r="HF109" s="374"/>
      <c r="HG109" s="374"/>
      <c r="HH109" s="374"/>
      <c r="HI109" s="374"/>
      <c r="HJ109" s="374"/>
      <c r="HK109" s="374"/>
      <c r="HL109" s="374"/>
      <c r="HM109" s="374"/>
      <c r="HN109" s="374"/>
      <c r="HO109" s="374"/>
      <c r="HP109" s="374"/>
      <c r="HQ109" s="374"/>
      <c r="HR109" s="374"/>
      <c r="HS109" s="374"/>
      <c r="HT109" s="374"/>
      <c r="HU109" s="374"/>
      <c r="HV109" s="374"/>
      <c r="HW109" s="374"/>
      <c r="HX109" s="374"/>
      <c r="HY109" s="374"/>
      <c r="HZ109" s="374"/>
      <c r="IA109" s="374"/>
      <c r="IB109" s="374"/>
      <c r="IC109" s="374"/>
      <c r="ID109" s="374"/>
      <c r="IE109" s="374"/>
      <c r="IF109" s="374"/>
      <c r="IG109" s="374"/>
      <c r="IH109" s="374"/>
      <c r="II109" s="374"/>
      <c r="IJ109" s="374"/>
      <c r="IK109" s="374"/>
      <c r="IL109" s="374"/>
      <c r="IM109" s="374"/>
      <c r="IN109" s="374"/>
      <c r="IO109" s="374"/>
      <c r="IP109" s="374"/>
      <c r="IQ109" s="374"/>
      <c r="IR109" s="374"/>
      <c r="IS109" s="374"/>
      <c r="IT109" s="374"/>
      <c r="IU109" s="374"/>
      <c r="IV109" s="374"/>
      <c r="IW109" s="374"/>
      <c r="IX109" s="374"/>
      <c r="IY109" s="374"/>
      <c r="IZ109" s="374"/>
      <c r="JA109" s="374"/>
      <c r="JB109" s="374"/>
      <c r="JC109" s="374"/>
      <c r="JD109" s="374"/>
      <c r="JE109" s="374"/>
      <c r="JF109" s="374"/>
      <c r="JG109" s="374"/>
      <c r="JH109" s="374"/>
      <c r="JI109" s="374"/>
      <c r="JJ109" s="374"/>
      <c r="JK109" s="374"/>
      <c r="JL109" s="374"/>
      <c r="JM109" s="374"/>
      <c r="JN109" s="374"/>
      <c r="JO109" s="374"/>
      <c r="JP109" s="374"/>
      <c r="JQ109" s="374"/>
      <c r="JR109" s="374"/>
      <c r="JS109" s="374"/>
      <c r="JT109" s="374"/>
      <c r="JU109" s="374"/>
      <c r="JV109" s="374"/>
      <c r="JW109" s="374"/>
      <c r="JX109" s="374"/>
      <c r="JY109" s="374"/>
      <c r="JZ109" s="374"/>
      <c r="KA109" s="374"/>
      <c r="KB109" s="374"/>
      <c r="KC109" s="374"/>
      <c r="KD109" s="374"/>
      <c r="KE109" s="374"/>
      <c r="KF109" s="374"/>
      <c r="KG109" s="374"/>
      <c r="KH109" s="374"/>
      <c r="KI109" s="374"/>
      <c r="KJ109" s="374"/>
      <c r="KK109" s="374"/>
      <c r="KL109" s="374"/>
      <c r="KM109" s="374"/>
      <c r="KN109" s="374"/>
      <c r="KO109" s="374"/>
      <c r="KP109" s="374"/>
      <c r="KQ109" s="374"/>
      <c r="KR109" s="374"/>
      <c r="KS109" s="374"/>
      <c r="KT109" s="374"/>
      <c r="KU109" s="374"/>
      <c r="KV109" s="374"/>
      <c r="KW109" s="374"/>
      <c r="KX109" s="374"/>
      <c r="KY109" s="374"/>
      <c r="KZ109" s="374"/>
      <c r="LA109" s="374"/>
      <c r="LB109" s="374"/>
      <c r="LC109" s="374"/>
      <c r="LD109" s="374"/>
      <c r="LE109" s="374"/>
      <c r="LF109" s="374"/>
      <c r="LG109" s="374"/>
      <c r="LH109" s="374"/>
      <c r="LI109" s="374"/>
      <c r="LJ109" s="374"/>
      <c r="LK109" s="374"/>
      <c r="LL109" s="374"/>
      <c r="LM109" s="374"/>
      <c r="LN109" s="374"/>
      <c r="LO109" s="374"/>
      <c r="LP109" s="374"/>
      <c r="LQ109" s="374"/>
    </row>
    <row r="110" spans="1:329">
      <c r="A110" s="529" t="s">
        <v>465</v>
      </c>
      <c r="B110" s="276" t="s">
        <v>321</v>
      </c>
      <c r="C110" s="276"/>
      <c r="D110" s="494" t="str">
        <f>HYPERLINK("#"&amp;"HPSBIV.1_Ref","Minimum IAQ Performance (HPSB GP4)")</f>
        <v>Minimum IAQ Performance (HPSB GP4)</v>
      </c>
      <c r="E110" s="313"/>
      <c r="F110" s="461" t="s">
        <v>322</v>
      </c>
      <c r="G110" s="258" t="s">
        <v>420</v>
      </c>
    </row>
    <row r="111" spans="1:329">
      <c r="A111" s="537" t="s">
        <v>465</v>
      </c>
      <c r="B111" s="277" t="s">
        <v>362</v>
      </c>
      <c r="C111" s="277"/>
      <c r="D111" s="504" t="str">
        <f>HYPERLINK("#"&amp;"HPSBIV.9_Ref","Environmental Tobacco Smoke (ETS) Control (HPSB GP4)")</f>
        <v>Environmental Tobacco Smoke (ETS) Control (HPSB GP4)</v>
      </c>
      <c r="E111" s="295"/>
      <c r="F111" s="465" t="s">
        <v>322</v>
      </c>
      <c r="G111" s="258" t="s">
        <v>420</v>
      </c>
    </row>
    <row r="112" spans="1:329">
      <c r="A112" s="530"/>
      <c r="B112" s="294" t="s">
        <v>421</v>
      </c>
      <c r="C112" s="277"/>
      <c r="D112" s="804" t="s">
        <v>422</v>
      </c>
      <c r="E112" s="815"/>
      <c r="F112" s="462">
        <v>1</v>
      </c>
      <c r="G112" s="258" t="s">
        <v>420</v>
      </c>
    </row>
    <row r="113" spans="1:329">
      <c r="A113" s="530"/>
      <c r="B113" s="277" t="s">
        <v>325</v>
      </c>
      <c r="C113" s="277"/>
      <c r="D113" s="815" t="s">
        <v>423</v>
      </c>
      <c r="E113" s="815"/>
      <c r="F113" s="462">
        <v>1</v>
      </c>
      <c r="G113" s="258" t="s">
        <v>420</v>
      </c>
    </row>
    <row r="114" spans="1:329">
      <c r="A114" s="530" t="s">
        <v>465</v>
      </c>
      <c r="B114" s="277" t="s">
        <v>424</v>
      </c>
      <c r="C114" s="277"/>
      <c r="D114" s="816" t="str">
        <f>HYPERLINK("#"&amp;"HPSBIV.7_Ref","Construction IAQ Management Plan, During Construction (HPSB GP4)")</f>
        <v>Construction IAQ Management Plan, During Construction (HPSB GP4)</v>
      </c>
      <c r="E114" s="803"/>
      <c r="F114" s="462">
        <v>1</v>
      </c>
      <c r="G114" s="258" t="s">
        <v>420</v>
      </c>
    </row>
    <row r="115" spans="1:329">
      <c r="A115" s="530" t="s">
        <v>465</v>
      </c>
      <c r="B115" s="277" t="s">
        <v>425</v>
      </c>
      <c r="C115" s="277"/>
      <c r="D115" s="810" t="str">
        <f>HYPERLINK("#"&amp;"HPSBIV.8_Ref","Construction IAQ Management Plan, Before Occupancy (HPSB GP4)")</f>
        <v>Construction IAQ Management Plan, Before Occupancy (HPSB GP4)</v>
      </c>
      <c r="E115" s="817"/>
      <c r="F115" s="462">
        <v>1</v>
      </c>
      <c r="G115" s="258" t="s">
        <v>420</v>
      </c>
    </row>
    <row r="116" spans="1:329">
      <c r="A116" s="530" t="s">
        <v>465</v>
      </c>
      <c r="B116" s="277" t="s">
        <v>329</v>
      </c>
      <c r="C116" s="277"/>
      <c r="D116" s="810" t="str">
        <f>HYPERLINK("#"&amp;"HPSBIV.6_Ref","Low Emitting Materials, Adhesives &amp; Sealants (HPSB GP4)")</f>
        <v>Low Emitting Materials, Adhesives &amp; Sealants (HPSB GP4)</v>
      </c>
      <c r="E116" s="807"/>
      <c r="F116" s="462">
        <v>1</v>
      </c>
      <c r="G116" s="258" t="s">
        <v>420</v>
      </c>
    </row>
    <row r="117" spans="1:329">
      <c r="A117" s="530" t="s">
        <v>465</v>
      </c>
      <c r="B117" s="277" t="s">
        <v>331</v>
      </c>
      <c r="C117" s="277"/>
      <c r="D117" s="810" t="str">
        <f>HYPERLINK("#"&amp;"HPSBIV.6_Ref","Low Emitting Materials, Paints &amp; Coatings (HPSB GP4)")</f>
        <v>Low Emitting Materials, Paints &amp; Coatings (HPSB GP4)</v>
      </c>
      <c r="E117" s="807"/>
      <c r="F117" s="462">
        <v>1</v>
      </c>
      <c r="G117" s="258" t="s">
        <v>420</v>
      </c>
    </row>
    <row r="118" spans="1:329">
      <c r="A118" s="530" t="s">
        <v>465</v>
      </c>
      <c r="B118" s="277" t="s">
        <v>333</v>
      </c>
      <c r="C118" s="277"/>
      <c r="D118" s="810" t="str">
        <f>HYPERLINK("#"&amp;"HPSBIV.6_Ref","Low Emitting Materials, Flooring Systems (HPSB GP4)")</f>
        <v>Low Emitting Materials, Flooring Systems (HPSB GP4)</v>
      </c>
      <c r="E118" s="807"/>
      <c r="F118" s="462">
        <v>1</v>
      </c>
      <c r="G118" s="258" t="s">
        <v>420</v>
      </c>
    </row>
    <row r="119" spans="1:329" ht="12.75" customHeight="1">
      <c r="A119" s="530" t="s">
        <v>465</v>
      </c>
      <c r="B119" s="277" t="s">
        <v>335</v>
      </c>
      <c r="C119" s="277"/>
      <c r="D119" s="811" t="str">
        <f>HYPERLINK("#"&amp;"HPSBIV.6_Ref","Low Emitting Materials, Composite Wood &amp; Agrifiber Products (HPSB GP4)")</f>
        <v>Low Emitting Materials, Composite Wood &amp; Agrifiber Products (HPSB GP4)</v>
      </c>
      <c r="E119" s="812"/>
      <c r="F119" s="462">
        <v>1</v>
      </c>
      <c r="G119" s="258" t="s">
        <v>420</v>
      </c>
    </row>
    <row r="120" spans="1:329">
      <c r="A120" s="530" t="s">
        <v>465</v>
      </c>
      <c r="B120" s="277" t="s">
        <v>396</v>
      </c>
      <c r="C120" s="277"/>
      <c r="D120" s="804" t="s">
        <v>426</v>
      </c>
      <c r="E120" s="805"/>
      <c r="F120" s="462">
        <v>1</v>
      </c>
      <c r="G120" s="258" t="s">
        <v>420</v>
      </c>
    </row>
    <row r="121" spans="1:329">
      <c r="A121" s="530" t="s">
        <v>465</v>
      </c>
      <c r="B121" s="277" t="s">
        <v>341</v>
      </c>
      <c r="C121" s="277"/>
      <c r="D121" s="810" t="str">
        <f>HYPERLINK("#"&amp;"HPSBIV.5_Ref","Controllability of Systems, Lighting (HPSB GP4)")</f>
        <v>Controllability of Systems, Lighting (HPSB GP4)</v>
      </c>
      <c r="E121" s="807"/>
      <c r="F121" s="462">
        <v>1</v>
      </c>
      <c r="G121" s="258" t="s">
        <v>420</v>
      </c>
    </row>
    <row r="122" spans="1:329">
      <c r="A122" s="530"/>
      <c r="B122" s="277" t="s">
        <v>342</v>
      </c>
      <c r="C122" s="277"/>
      <c r="D122" s="804" t="s">
        <v>427</v>
      </c>
      <c r="E122" s="805"/>
      <c r="F122" s="462">
        <v>1</v>
      </c>
      <c r="G122" s="258" t="s">
        <v>420</v>
      </c>
    </row>
    <row r="123" spans="1:329">
      <c r="A123" s="530" t="s">
        <v>465</v>
      </c>
      <c r="B123" s="277" t="s">
        <v>343</v>
      </c>
      <c r="C123" s="277"/>
      <c r="D123" s="802" t="str">
        <f>HYPERLINK("#"&amp;"HPSBIV.2_Ref","Thermal Comfort, Design (HPSB GP4)")</f>
        <v>Thermal Comfort, Design (HPSB GP4)</v>
      </c>
      <c r="E123" s="803"/>
      <c r="F123" s="462">
        <v>1</v>
      </c>
      <c r="G123" s="258" t="s">
        <v>420</v>
      </c>
    </row>
    <row r="124" spans="1:329">
      <c r="A124" s="530" t="s">
        <v>465</v>
      </c>
      <c r="B124" s="277" t="s">
        <v>345</v>
      </c>
      <c r="C124" s="277"/>
      <c r="D124" s="804" t="s">
        <v>428</v>
      </c>
      <c r="E124" s="805"/>
      <c r="F124" s="462">
        <v>1</v>
      </c>
      <c r="G124" s="258" t="s">
        <v>420</v>
      </c>
    </row>
    <row r="125" spans="1:329">
      <c r="A125" s="530" t="s">
        <v>500</v>
      </c>
      <c r="B125" s="294" t="s">
        <v>429</v>
      </c>
      <c r="C125" s="277"/>
      <c r="D125" s="806" t="str">
        <f>HYPERLINK("#"&amp;"HPSBIV.4_Ref","Daylight &amp; Views - Daylight 75% of Spaces (HPSB GP4)")</f>
        <v>Daylight &amp; Views - Daylight 75% of Spaces (HPSB GP4)</v>
      </c>
      <c r="E125" s="807"/>
      <c r="F125" s="462">
        <v>1</v>
      </c>
      <c r="G125" s="258" t="s">
        <v>420</v>
      </c>
    </row>
    <row r="126" spans="1:329">
      <c r="A126" s="530"/>
      <c r="B126" s="278" t="s">
        <v>430</v>
      </c>
      <c r="C126" s="278"/>
      <c r="D126" s="808" t="s">
        <v>431</v>
      </c>
      <c r="E126" s="809"/>
      <c r="F126" s="463">
        <v>1</v>
      </c>
      <c r="G126" s="258" t="s">
        <v>420</v>
      </c>
    </row>
    <row r="127" spans="1:329" s="259" customFormat="1">
      <c r="A127" s="538" t="s">
        <v>432</v>
      </c>
      <c r="B127" s="288"/>
      <c r="C127" s="271"/>
      <c r="D127" s="505"/>
      <c r="E127" s="272"/>
      <c r="F127" s="468"/>
      <c r="G127" s="258"/>
      <c r="H127" s="254"/>
      <c r="I127" s="254"/>
      <c r="J127" s="254"/>
      <c r="K127" s="254"/>
      <c r="N127" s="374"/>
      <c r="O127" s="374"/>
      <c r="P127" s="374"/>
      <c r="Q127" s="374"/>
      <c r="R127" s="374"/>
      <c r="S127" s="374"/>
      <c r="T127" s="374"/>
      <c r="U127" s="374"/>
      <c r="V127" s="374"/>
      <c r="W127" s="374"/>
      <c r="X127" s="374"/>
      <c r="Y127" s="374"/>
      <c r="Z127" s="374"/>
      <c r="AA127" s="374"/>
      <c r="AB127" s="374"/>
      <c r="AC127" s="374"/>
      <c r="AD127" s="374"/>
      <c r="AE127" s="374"/>
      <c r="AF127" s="374"/>
      <c r="AG127" s="374"/>
      <c r="AH127" s="374"/>
      <c r="AI127" s="374"/>
      <c r="AJ127" s="374"/>
      <c r="AK127" s="374"/>
      <c r="AL127" s="374"/>
      <c r="AM127" s="374"/>
      <c r="AN127" s="374"/>
      <c r="AO127" s="374"/>
      <c r="AP127" s="374"/>
      <c r="AQ127" s="374"/>
      <c r="AR127" s="374"/>
      <c r="AS127" s="374"/>
      <c r="AT127" s="374"/>
      <c r="AU127" s="374"/>
      <c r="AV127" s="374"/>
      <c r="AW127" s="374"/>
      <c r="AX127" s="374"/>
      <c r="AY127" s="374"/>
      <c r="AZ127" s="374"/>
      <c r="BA127" s="374"/>
      <c r="BB127" s="374"/>
      <c r="BC127" s="374"/>
      <c r="BD127" s="374"/>
      <c r="BE127" s="374"/>
      <c r="BF127" s="374"/>
      <c r="BG127" s="374"/>
      <c r="BH127" s="374"/>
      <c r="BI127" s="374"/>
      <c r="BJ127" s="374"/>
      <c r="BK127" s="374"/>
      <c r="BL127" s="374"/>
      <c r="BM127" s="374"/>
      <c r="BN127" s="374"/>
      <c r="BO127" s="374"/>
      <c r="BP127" s="374"/>
      <c r="BQ127" s="374"/>
      <c r="BR127" s="374"/>
      <c r="BS127" s="374"/>
      <c r="BT127" s="374"/>
      <c r="BU127" s="374"/>
      <c r="BV127" s="374"/>
      <c r="BW127" s="374"/>
      <c r="BX127" s="374"/>
      <c r="BY127" s="374"/>
      <c r="BZ127" s="374"/>
      <c r="CA127" s="374"/>
      <c r="CB127" s="374"/>
      <c r="CC127" s="374"/>
      <c r="CD127" s="374"/>
      <c r="CE127" s="374"/>
      <c r="CF127" s="374"/>
      <c r="CG127" s="374"/>
      <c r="CH127" s="374"/>
      <c r="CI127" s="374"/>
      <c r="CJ127" s="374"/>
      <c r="CK127" s="374"/>
      <c r="CL127" s="374"/>
      <c r="CM127" s="374"/>
      <c r="CN127" s="374"/>
      <c r="CO127" s="374"/>
      <c r="CP127" s="374"/>
      <c r="CQ127" s="374"/>
      <c r="CR127" s="374"/>
      <c r="CS127" s="374"/>
      <c r="CT127" s="374"/>
      <c r="CU127" s="374"/>
      <c r="CV127" s="374"/>
      <c r="CW127" s="374"/>
      <c r="CX127" s="374"/>
      <c r="CY127" s="374"/>
      <c r="CZ127" s="374"/>
      <c r="DA127" s="374"/>
      <c r="DB127" s="374"/>
      <c r="DC127" s="374"/>
      <c r="DD127" s="374"/>
      <c r="DE127" s="374"/>
      <c r="DF127" s="374"/>
      <c r="DG127" s="374"/>
      <c r="DH127" s="374"/>
      <c r="DI127" s="374"/>
      <c r="DJ127" s="374"/>
      <c r="DK127" s="374"/>
      <c r="DL127" s="374"/>
      <c r="DM127" s="374"/>
      <c r="DN127" s="374"/>
      <c r="DO127" s="374"/>
      <c r="DP127" s="374"/>
      <c r="DQ127" s="374"/>
      <c r="DR127" s="374"/>
      <c r="DS127" s="374"/>
      <c r="DT127" s="374"/>
      <c r="DU127" s="374"/>
      <c r="DV127" s="374"/>
      <c r="DW127" s="374"/>
      <c r="DX127" s="374"/>
      <c r="DY127" s="374"/>
      <c r="DZ127" s="374"/>
      <c r="EA127" s="374"/>
      <c r="EB127" s="374"/>
      <c r="EC127" s="374"/>
      <c r="ED127" s="374"/>
      <c r="EE127" s="374"/>
      <c r="EF127" s="374"/>
      <c r="EG127" s="374"/>
      <c r="EH127" s="374"/>
      <c r="EI127" s="374"/>
      <c r="EJ127" s="374"/>
      <c r="EK127" s="374"/>
      <c r="EL127" s="374"/>
      <c r="EM127" s="374"/>
      <c r="EN127" s="374"/>
      <c r="EO127" s="374"/>
      <c r="EP127" s="374"/>
      <c r="EQ127" s="374"/>
      <c r="ER127" s="374"/>
      <c r="ES127" s="374"/>
      <c r="ET127" s="374"/>
      <c r="EU127" s="374"/>
      <c r="EV127" s="374"/>
      <c r="EW127" s="374"/>
      <c r="EX127" s="374"/>
      <c r="EY127" s="374"/>
      <c r="EZ127" s="374"/>
      <c r="FA127" s="374"/>
      <c r="FB127" s="374"/>
      <c r="FC127" s="374"/>
      <c r="FD127" s="374"/>
      <c r="FE127" s="374"/>
      <c r="FF127" s="374"/>
      <c r="FG127" s="374"/>
      <c r="FH127" s="374"/>
      <c r="FI127" s="374"/>
      <c r="FJ127" s="374"/>
      <c r="FK127" s="374"/>
      <c r="FL127" s="374"/>
      <c r="FM127" s="374"/>
      <c r="FN127" s="374"/>
      <c r="FO127" s="374"/>
      <c r="FP127" s="374"/>
      <c r="FQ127" s="374"/>
      <c r="FR127" s="374"/>
      <c r="FS127" s="374"/>
      <c r="FT127" s="374"/>
      <c r="FU127" s="374"/>
      <c r="FV127" s="374"/>
      <c r="FW127" s="374"/>
      <c r="FX127" s="374"/>
      <c r="FY127" s="374"/>
      <c r="FZ127" s="374"/>
      <c r="GA127" s="374"/>
      <c r="GB127" s="374"/>
      <c r="GC127" s="374"/>
      <c r="GD127" s="374"/>
      <c r="GE127" s="374"/>
      <c r="GF127" s="374"/>
      <c r="GG127" s="374"/>
      <c r="GH127" s="374"/>
      <c r="GI127" s="374"/>
      <c r="GJ127" s="374"/>
      <c r="GK127" s="374"/>
      <c r="GL127" s="374"/>
      <c r="GM127" s="374"/>
      <c r="GN127" s="374"/>
      <c r="GO127" s="374"/>
      <c r="GP127" s="374"/>
      <c r="GQ127" s="374"/>
      <c r="GR127" s="374"/>
      <c r="GS127" s="374"/>
      <c r="GT127" s="374"/>
      <c r="GU127" s="374"/>
      <c r="GV127" s="374"/>
      <c r="GW127" s="374"/>
      <c r="GX127" s="374"/>
      <c r="GY127" s="374"/>
      <c r="GZ127" s="374"/>
      <c r="HA127" s="374"/>
      <c r="HB127" s="374"/>
      <c r="HC127" s="374"/>
      <c r="HD127" s="374"/>
      <c r="HE127" s="374"/>
      <c r="HF127" s="374"/>
      <c r="HG127" s="374"/>
      <c r="HH127" s="374"/>
      <c r="HI127" s="374"/>
      <c r="HJ127" s="374"/>
      <c r="HK127" s="374"/>
      <c r="HL127" s="374"/>
      <c r="HM127" s="374"/>
      <c r="HN127" s="374"/>
      <c r="HO127" s="374"/>
      <c r="HP127" s="374"/>
      <c r="HQ127" s="374"/>
      <c r="HR127" s="374"/>
      <c r="HS127" s="374"/>
      <c r="HT127" s="374"/>
      <c r="HU127" s="374"/>
      <c r="HV127" s="374"/>
      <c r="HW127" s="374"/>
      <c r="HX127" s="374"/>
      <c r="HY127" s="374"/>
      <c r="HZ127" s="374"/>
      <c r="IA127" s="374"/>
      <c r="IB127" s="374"/>
      <c r="IC127" s="374"/>
      <c r="ID127" s="374"/>
      <c r="IE127" s="374"/>
      <c r="IF127" s="374"/>
      <c r="IG127" s="374"/>
      <c r="IH127" s="374"/>
      <c r="II127" s="374"/>
      <c r="IJ127" s="374"/>
      <c r="IK127" s="374"/>
      <c r="IL127" s="374"/>
      <c r="IM127" s="374"/>
      <c r="IN127" s="374"/>
      <c r="IO127" s="374"/>
      <c r="IP127" s="374"/>
      <c r="IQ127" s="374"/>
      <c r="IR127" s="374"/>
      <c r="IS127" s="374"/>
      <c r="IT127" s="374"/>
      <c r="IU127" s="374"/>
      <c r="IV127" s="374"/>
      <c r="IW127" s="374"/>
      <c r="IX127" s="374"/>
      <c r="IY127" s="374"/>
      <c r="IZ127" s="374"/>
      <c r="JA127" s="374"/>
      <c r="JB127" s="374"/>
      <c r="JC127" s="374"/>
      <c r="JD127" s="374"/>
      <c r="JE127" s="374"/>
      <c r="JF127" s="374"/>
      <c r="JG127" s="374"/>
      <c r="JH127" s="374"/>
      <c r="JI127" s="374"/>
      <c r="JJ127" s="374"/>
      <c r="JK127" s="374"/>
      <c r="JL127" s="374"/>
      <c r="JM127" s="374"/>
      <c r="JN127" s="374"/>
      <c r="JO127" s="374"/>
      <c r="JP127" s="374"/>
      <c r="JQ127" s="374"/>
      <c r="JR127" s="374"/>
      <c r="JS127" s="374"/>
      <c r="JT127" s="374"/>
      <c r="JU127" s="374"/>
      <c r="JV127" s="374"/>
      <c r="JW127" s="374"/>
      <c r="JX127" s="374"/>
      <c r="JY127" s="374"/>
      <c r="JZ127" s="374"/>
      <c r="KA127" s="374"/>
      <c r="KB127" s="374"/>
      <c r="KC127" s="374"/>
      <c r="KD127" s="374"/>
      <c r="KE127" s="374"/>
      <c r="KF127" s="374"/>
      <c r="KG127" s="374"/>
      <c r="KH127" s="374"/>
      <c r="KI127" s="374"/>
      <c r="KJ127" s="374"/>
      <c r="KK127" s="374"/>
      <c r="KL127" s="374"/>
      <c r="KM127" s="374"/>
      <c r="KN127" s="374"/>
      <c r="KO127" s="374"/>
      <c r="KP127" s="374"/>
      <c r="KQ127" s="374"/>
      <c r="KR127" s="374"/>
      <c r="KS127" s="374"/>
      <c r="KT127" s="374"/>
      <c r="KU127" s="374"/>
      <c r="KV127" s="374"/>
      <c r="KW127" s="374"/>
      <c r="KX127" s="374"/>
      <c r="KY127" s="374"/>
      <c r="KZ127" s="374"/>
      <c r="LA127" s="374"/>
      <c r="LB127" s="374"/>
      <c r="LC127" s="374"/>
      <c r="LD127" s="374"/>
      <c r="LE127" s="374"/>
      <c r="LF127" s="374"/>
      <c r="LG127" s="374"/>
      <c r="LH127" s="374"/>
      <c r="LI127" s="374"/>
      <c r="LJ127" s="374"/>
      <c r="LK127" s="374"/>
      <c r="LL127" s="374"/>
      <c r="LM127" s="374"/>
      <c r="LN127" s="374"/>
      <c r="LO127" s="374"/>
      <c r="LP127" s="374"/>
      <c r="LQ127" s="374"/>
    </row>
    <row r="128" spans="1:329" s="259" customFormat="1">
      <c r="A128" s="528" t="s">
        <v>243</v>
      </c>
      <c r="B128" s="593">
        <f>COUNTIF(A129:A139,"Yes")</f>
        <v>0</v>
      </c>
      <c r="C128" s="269"/>
      <c r="D128" s="506"/>
      <c r="E128" s="270" t="s">
        <v>244</v>
      </c>
      <c r="F128" s="460">
        <f>SUM(F129:F139)</f>
        <v>6</v>
      </c>
      <c r="G128" s="258"/>
      <c r="H128" s="254"/>
      <c r="I128" s="254"/>
      <c r="J128" s="254"/>
      <c r="K128" s="254"/>
      <c r="N128" s="374"/>
      <c r="O128" s="374"/>
      <c r="P128" s="374"/>
      <c r="Q128" s="374"/>
      <c r="R128" s="374"/>
      <c r="S128" s="374"/>
      <c r="T128" s="374"/>
      <c r="U128" s="374"/>
      <c r="V128" s="374"/>
      <c r="W128" s="374"/>
      <c r="X128" s="374"/>
      <c r="Y128" s="374"/>
      <c r="Z128" s="374"/>
      <c r="AA128" s="374"/>
      <c r="AB128" s="374"/>
      <c r="AC128" s="374"/>
      <c r="AD128" s="374"/>
      <c r="AE128" s="374"/>
      <c r="AF128" s="374"/>
      <c r="AG128" s="374"/>
      <c r="AH128" s="374"/>
      <c r="AI128" s="374"/>
      <c r="AJ128" s="374"/>
      <c r="AK128" s="374"/>
      <c r="AL128" s="374"/>
      <c r="AM128" s="374"/>
      <c r="AN128" s="374"/>
      <c r="AO128" s="374"/>
      <c r="AP128" s="374"/>
      <c r="AQ128" s="374"/>
      <c r="AR128" s="374"/>
      <c r="AS128" s="374"/>
      <c r="AT128" s="374"/>
      <c r="AU128" s="374"/>
      <c r="AV128" s="374"/>
      <c r="AW128" s="374"/>
      <c r="AX128" s="374"/>
      <c r="AY128" s="374"/>
      <c r="AZ128" s="374"/>
      <c r="BA128" s="374"/>
      <c r="BB128" s="374"/>
      <c r="BC128" s="374"/>
      <c r="BD128" s="374"/>
      <c r="BE128" s="374"/>
      <c r="BF128" s="374"/>
      <c r="BG128" s="374"/>
      <c r="BH128" s="374"/>
      <c r="BI128" s="374"/>
      <c r="BJ128" s="374"/>
      <c r="BK128" s="374"/>
      <c r="BL128" s="374"/>
      <c r="BM128" s="374"/>
      <c r="BN128" s="374"/>
      <c r="BO128" s="374"/>
      <c r="BP128" s="374"/>
      <c r="BQ128" s="374"/>
      <c r="BR128" s="374"/>
      <c r="BS128" s="374"/>
      <c r="BT128" s="374"/>
      <c r="BU128" s="374"/>
      <c r="BV128" s="374"/>
      <c r="BW128" s="374"/>
      <c r="BX128" s="374"/>
      <c r="BY128" s="374"/>
      <c r="BZ128" s="374"/>
      <c r="CA128" s="374"/>
      <c r="CB128" s="374"/>
      <c r="CC128" s="374"/>
      <c r="CD128" s="374"/>
      <c r="CE128" s="374"/>
      <c r="CF128" s="374"/>
      <c r="CG128" s="374"/>
      <c r="CH128" s="374"/>
      <c r="CI128" s="374"/>
      <c r="CJ128" s="374"/>
      <c r="CK128" s="374"/>
      <c r="CL128" s="374"/>
      <c r="CM128" s="374"/>
      <c r="CN128" s="374"/>
      <c r="CO128" s="374"/>
      <c r="CP128" s="374"/>
      <c r="CQ128" s="374"/>
      <c r="CR128" s="374"/>
      <c r="CS128" s="374"/>
      <c r="CT128" s="374"/>
      <c r="CU128" s="374"/>
      <c r="CV128" s="374"/>
      <c r="CW128" s="374"/>
      <c r="CX128" s="374"/>
      <c r="CY128" s="374"/>
      <c r="CZ128" s="374"/>
      <c r="DA128" s="374"/>
      <c r="DB128" s="374"/>
      <c r="DC128" s="374"/>
      <c r="DD128" s="374"/>
      <c r="DE128" s="374"/>
      <c r="DF128" s="374"/>
      <c r="DG128" s="374"/>
      <c r="DH128" s="374"/>
      <c r="DI128" s="374"/>
      <c r="DJ128" s="374"/>
      <c r="DK128" s="374"/>
      <c r="DL128" s="374"/>
      <c r="DM128" s="374"/>
      <c r="DN128" s="374"/>
      <c r="DO128" s="374"/>
      <c r="DP128" s="374"/>
      <c r="DQ128" s="374"/>
      <c r="DR128" s="374"/>
      <c r="DS128" s="374"/>
      <c r="DT128" s="374"/>
      <c r="DU128" s="374"/>
      <c r="DV128" s="374"/>
      <c r="DW128" s="374"/>
      <c r="DX128" s="374"/>
      <c r="DY128" s="374"/>
      <c r="DZ128" s="374"/>
      <c r="EA128" s="374"/>
      <c r="EB128" s="374"/>
      <c r="EC128" s="374"/>
      <c r="ED128" s="374"/>
      <c r="EE128" s="374"/>
      <c r="EF128" s="374"/>
      <c r="EG128" s="374"/>
      <c r="EH128" s="374"/>
      <c r="EI128" s="374"/>
      <c r="EJ128" s="374"/>
      <c r="EK128" s="374"/>
      <c r="EL128" s="374"/>
      <c r="EM128" s="374"/>
      <c r="EN128" s="374"/>
      <c r="EO128" s="374"/>
      <c r="EP128" s="374"/>
      <c r="EQ128" s="374"/>
      <c r="ER128" s="374"/>
      <c r="ES128" s="374"/>
      <c r="ET128" s="374"/>
      <c r="EU128" s="374"/>
      <c r="EV128" s="374"/>
      <c r="EW128" s="374"/>
      <c r="EX128" s="374"/>
      <c r="EY128" s="374"/>
      <c r="EZ128" s="374"/>
      <c r="FA128" s="374"/>
      <c r="FB128" s="374"/>
      <c r="FC128" s="374"/>
      <c r="FD128" s="374"/>
      <c r="FE128" s="374"/>
      <c r="FF128" s="374"/>
      <c r="FG128" s="374"/>
      <c r="FH128" s="374"/>
      <c r="FI128" s="374"/>
      <c r="FJ128" s="374"/>
      <c r="FK128" s="374"/>
      <c r="FL128" s="374"/>
      <c r="FM128" s="374"/>
      <c r="FN128" s="374"/>
      <c r="FO128" s="374"/>
      <c r="FP128" s="374"/>
      <c r="FQ128" s="374"/>
      <c r="FR128" s="374"/>
      <c r="FS128" s="374"/>
      <c r="FT128" s="374"/>
      <c r="FU128" s="374"/>
      <c r="FV128" s="374"/>
      <c r="FW128" s="374"/>
      <c r="FX128" s="374"/>
      <c r="FY128" s="374"/>
      <c r="FZ128" s="374"/>
      <c r="GA128" s="374"/>
      <c r="GB128" s="374"/>
      <c r="GC128" s="374"/>
      <c r="GD128" s="374"/>
      <c r="GE128" s="374"/>
      <c r="GF128" s="374"/>
      <c r="GG128" s="374"/>
      <c r="GH128" s="374"/>
      <c r="GI128" s="374"/>
      <c r="GJ128" s="374"/>
      <c r="GK128" s="374"/>
      <c r="GL128" s="374"/>
      <c r="GM128" s="374"/>
      <c r="GN128" s="374"/>
      <c r="GO128" s="374"/>
      <c r="GP128" s="374"/>
      <c r="GQ128" s="374"/>
      <c r="GR128" s="374"/>
      <c r="GS128" s="374"/>
      <c r="GT128" s="374"/>
      <c r="GU128" s="374"/>
      <c r="GV128" s="374"/>
      <c r="GW128" s="374"/>
      <c r="GX128" s="374"/>
      <c r="GY128" s="374"/>
      <c r="GZ128" s="374"/>
      <c r="HA128" s="374"/>
      <c r="HB128" s="374"/>
      <c r="HC128" s="374"/>
      <c r="HD128" s="374"/>
      <c r="HE128" s="374"/>
      <c r="HF128" s="374"/>
      <c r="HG128" s="374"/>
      <c r="HH128" s="374"/>
      <c r="HI128" s="374"/>
      <c r="HJ128" s="374"/>
      <c r="HK128" s="374"/>
      <c r="HL128" s="374"/>
      <c r="HM128" s="374"/>
      <c r="HN128" s="374"/>
      <c r="HO128" s="374"/>
      <c r="HP128" s="374"/>
      <c r="HQ128" s="374"/>
      <c r="HR128" s="374"/>
      <c r="HS128" s="374"/>
      <c r="HT128" s="374"/>
      <c r="HU128" s="374"/>
      <c r="HV128" s="374"/>
      <c r="HW128" s="374"/>
      <c r="HX128" s="374"/>
      <c r="HY128" s="374"/>
      <c r="HZ128" s="374"/>
      <c r="IA128" s="374"/>
      <c r="IB128" s="374"/>
      <c r="IC128" s="374"/>
      <c r="ID128" s="374"/>
      <c r="IE128" s="374"/>
      <c r="IF128" s="374"/>
      <c r="IG128" s="374"/>
      <c r="IH128" s="374"/>
      <c r="II128" s="374"/>
      <c r="IJ128" s="374"/>
      <c r="IK128" s="374"/>
      <c r="IL128" s="374"/>
      <c r="IM128" s="374"/>
      <c r="IN128" s="374"/>
      <c r="IO128" s="374"/>
      <c r="IP128" s="374"/>
      <c r="IQ128" s="374"/>
      <c r="IR128" s="374"/>
      <c r="IS128" s="374"/>
      <c r="IT128" s="374"/>
      <c r="IU128" s="374"/>
      <c r="IV128" s="374"/>
      <c r="IW128" s="374"/>
      <c r="IX128" s="374"/>
      <c r="IY128" s="374"/>
      <c r="IZ128" s="374"/>
      <c r="JA128" s="374"/>
      <c r="JB128" s="374"/>
      <c r="JC128" s="374"/>
      <c r="JD128" s="374"/>
      <c r="JE128" s="374"/>
      <c r="JF128" s="374"/>
      <c r="JG128" s="374"/>
      <c r="JH128" s="374"/>
      <c r="JI128" s="374"/>
      <c r="JJ128" s="374"/>
      <c r="JK128" s="374"/>
      <c r="JL128" s="374"/>
      <c r="JM128" s="374"/>
      <c r="JN128" s="374"/>
      <c r="JO128" s="374"/>
      <c r="JP128" s="374"/>
      <c r="JQ128" s="374"/>
      <c r="JR128" s="374"/>
      <c r="JS128" s="374"/>
      <c r="JT128" s="374"/>
      <c r="JU128" s="374"/>
      <c r="JV128" s="374"/>
      <c r="JW128" s="374"/>
      <c r="JX128" s="374"/>
      <c r="JY128" s="374"/>
      <c r="JZ128" s="374"/>
      <c r="KA128" s="374"/>
      <c r="KB128" s="374"/>
      <c r="KC128" s="374"/>
      <c r="KD128" s="374"/>
      <c r="KE128" s="374"/>
      <c r="KF128" s="374"/>
      <c r="KG128" s="374"/>
      <c r="KH128" s="374"/>
      <c r="KI128" s="374"/>
      <c r="KJ128" s="374"/>
      <c r="KK128" s="374"/>
      <c r="KL128" s="374"/>
      <c r="KM128" s="374"/>
      <c r="KN128" s="374"/>
      <c r="KO128" s="374"/>
      <c r="KP128" s="374"/>
      <c r="KQ128" s="374"/>
      <c r="KR128" s="374"/>
      <c r="KS128" s="374"/>
      <c r="KT128" s="374"/>
      <c r="KU128" s="374"/>
      <c r="KV128" s="374"/>
      <c r="KW128" s="374"/>
      <c r="KX128" s="374"/>
      <c r="KY128" s="374"/>
      <c r="KZ128" s="374"/>
      <c r="LA128" s="374"/>
      <c r="LB128" s="374"/>
      <c r="LC128" s="374"/>
      <c r="LD128" s="374"/>
      <c r="LE128" s="374"/>
      <c r="LF128" s="374"/>
      <c r="LG128" s="374"/>
      <c r="LH128" s="374"/>
      <c r="LI128" s="374"/>
      <c r="LJ128" s="374"/>
      <c r="LK128" s="374"/>
      <c r="LL128" s="374"/>
      <c r="LM128" s="374"/>
      <c r="LN128" s="374"/>
      <c r="LO128" s="374"/>
      <c r="LP128" s="374"/>
      <c r="LQ128" s="374"/>
    </row>
    <row r="129" spans="1:329">
      <c r="A129" s="530"/>
      <c r="B129" s="294" t="s">
        <v>400</v>
      </c>
      <c r="C129" s="276"/>
      <c r="D129" s="507" t="s">
        <v>433</v>
      </c>
      <c r="E129" s="314"/>
      <c r="F129" s="469">
        <v>1</v>
      </c>
      <c r="G129" s="315" t="s">
        <v>432</v>
      </c>
    </row>
    <row r="130" spans="1:329">
      <c r="A130" s="535"/>
      <c r="B130" s="260"/>
      <c r="C130" s="277"/>
      <c r="D130" s="497"/>
      <c r="E130" s="304" t="s">
        <v>434</v>
      </c>
      <c r="F130" s="466"/>
      <c r="G130" s="315" t="s">
        <v>432</v>
      </c>
      <c r="H130" s="316" t="s">
        <v>433</v>
      </c>
      <c r="I130" s="276" t="s">
        <v>400</v>
      </c>
    </row>
    <row r="131" spans="1:329">
      <c r="A131" s="530"/>
      <c r="B131" s="294" t="s">
        <v>406</v>
      </c>
      <c r="C131" s="277"/>
      <c r="D131" s="508" t="s">
        <v>435</v>
      </c>
      <c r="E131" s="296"/>
      <c r="F131" s="462">
        <v>1</v>
      </c>
      <c r="G131" s="315" t="s">
        <v>432</v>
      </c>
    </row>
    <row r="132" spans="1:329">
      <c r="A132" s="535"/>
      <c r="B132" s="260"/>
      <c r="C132" s="277"/>
      <c r="D132" s="497"/>
      <c r="E132" s="304" t="s">
        <v>436</v>
      </c>
      <c r="F132" s="466"/>
      <c r="G132" s="315" t="s">
        <v>432</v>
      </c>
      <c r="H132" s="316" t="s">
        <v>435</v>
      </c>
      <c r="I132" s="276" t="s">
        <v>406</v>
      </c>
    </row>
    <row r="133" spans="1:329">
      <c r="A133" s="530"/>
      <c r="B133" s="294" t="s">
        <v>437</v>
      </c>
      <c r="C133" s="277"/>
      <c r="D133" s="508" t="s">
        <v>438</v>
      </c>
      <c r="E133" s="296"/>
      <c r="F133" s="462">
        <v>1</v>
      </c>
      <c r="G133" s="315" t="s">
        <v>432</v>
      </c>
    </row>
    <row r="134" spans="1:329">
      <c r="A134" s="535"/>
      <c r="B134" s="260"/>
      <c r="C134" s="277"/>
      <c r="D134" s="497"/>
      <c r="E134" s="304" t="s">
        <v>439</v>
      </c>
      <c r="F134" s="466"/>
      <c r="G134" s="315" t="s">
        <v>432</v>
      </c>
      <c r="H134" s="316" t="s">
        <v>438</v>
      </c>
      <c r="I134" s="276" t="s">
        <v>437</v>
      </c>
    </row>
    <row r="135" spans="1:329">
      <c r="A135" s="530"/>
      <c r="B135" s="294" t="s">
        <v>440</v>
      </c>
      <c r="C135" s="277"/>
      <c r="D135" s="508" t="s">
        <v>441</v>
      </c>
      <c r="E135" s="296"/>
      <c r="F135" s="462">
        <v>1</v>
      </c>
      <c r="G135" s="315" t="s">
        <v>432</v>
      </c>
    </row>
    <row r="136" spans="1:329">
      <c r="A136" s="535"/>
      <c r="B136" s="260"/>
      <c r="C136" s="277"/>
      <c r="D136" s="497"/>
      <c r="E136" s="304" t="s">
        <v>442</v>
      </c>
      <c r="F136" s="466"/>
      <c r="G136" s="315" t="s">
        <v>432</v>
      </c>
      <c r="H136" s="316" t="s">
        <v>441</v>
      </c>
      <c r="I136" s="276" t="s">
        <v>440</v>
      </c>
    </row>
    <row r="137" spans="1:329">
      <c r="A137" s="530"/>
      <c r="B137" s="294" t="s">
        <v>443</v>
      </c>
      <c r="C137" s="277"/>
      <c r="D137" s="508" t="s">
        <v>444</v>
      </c>
      <c r="E137" s="296"/>
      <c r="F137" s="462">
        <v>1</v>
      </c>
      <c r="G137" s="315" t="s">
        <v>432</v>
      </c>
    </row>
    <row r="138" spans="1:329">
      <c r="A138" s="535"/>
      <c r="B138" s="260"/>
      <c r="C138" s="277"/>
      <c r="D138" s="497"/>
      <c r="E138" s="304" t="s">
        <v>445</v>
      </c>
      <c r="F138" s="466"/>
      <c r="G138" s="315" t="s">
        <v>432</v>
      </c>
      <c r="H138" s="316" t="s">
        <v>444</v>
      </c>
      <c r="I138" s="276" t="s">
        <v>443</v>
      </c>
    </row>
    <row r="139" spans="1:329">
      <c r="A139" s="530"/>
      <c r="B139" s="277" t="s">
        <v>325</v>
      </c>
      <c r="C139" s="278"/>
      <c r="D139" s="509" t="s">
        <v>446</v>
      </c>
      <c r="E139" s="317"/>
      <c r="F139" s="463">
        <v>1</v>
      </c>
      <c r="G139" s="315" t="s">
        <v>432</v>
      </c>
    </row>
    <row r="140" spans="1:329" s="259" customFormat="1">
      <c r="A140" s="538" t="s">
        <v>447</v>
      </c>
      <c r="B140" s="288"/>
      <c r="C140" s="271"/>
      <c r="D140" s="505"/>
      <c r="E140" s="289"/>
      <c r="F140" s="468"/>
      <c r="G140" s="318"/>
      <c r="H140" s="254"/>
      <c r="I140" s="254"/>
      <c r="J140" s="254"/>
      <c r="K140" s="254"/>
      <c r="N140" s="374"/>
      <c r="O140" s="374"/>
      <c r="P140" s="374"/>
      <c r="Q140" s="374"/>
      <c r="R140" s="374"/>
      <c r="S140" s="374"/>
      <c r="T140" s="374"/>
      <c r="U140" s="374"/>
      <c r="V140" s="374"/>
      <c r="W140" s="374"/>
      <c r="X140" s="374"/>
      <c r="Y140" s="374"/>
      <c r="Z140" s="374"/>
      <c r="AA140" s="374"/>
      <c r="AB140" s="374"/>
      <c r="AC140" s="374"/>
      <c r="AD140" s="374"/>
      <c r="AE140" s="374"/>
      <c r="AF140" s="374"/>
      <c r="AG140" s="374"/>
      <c r="AH140" s="374"/>
      <c r="AI140" s="374"/>
      <c r="AJ140" s="374"/>
      <c r="AK140" s="374"/>
      <c r="AL140" s="374"/>
      <c r="AM140" s="374"/>
      <c r="AN140" s="374"/>
      <c r="AO140" s="374"/>
      <c r="AP140" s="374"/>
      <c r="AQ140" s="374"/>
      <c r="AR140" s="374"/>
      <c r="AS140" s="374"/>
      <c r="AT140" s="374"/>
      <c r="AU140" s="374"/>
      <c r="AV140" s="374"/>
      <c r="AW140" s="374"/>
      <c r="AX140" s="374"/>
      <c r="AY140" s="374"/>
      <c r="AZ140" s="374"/>
      <c r="BA140" s="374"/>
      <c r="BB140" s="374"/>
      <c r="BC140" s="374"/>
      <c r="BD140" s="374"/>
      <c r="BE140" s="374"/>
      <c r="BF140" s="374"/>
      <c r="BG140" s="374"/>
      <c r="BH140" s="374"/>
      <c r="BI140" s="374"/>
      <c r="BJ140" s="374"/>
      <c r="BK140" s="374"/>
      <c r="BL140" s="374"/>
      <c r="BM140" s="374"/>
      <c r="BN140" s="374"/>
      <c r="BO140" s="374"/>
      <c r="BP140" s="374"/>
      <c r="BQ140" s="374"/>
      <c r="BR140" s="374"/>
      <c r="BS140" s="374"/>
      <c r="BT140" s="374"/>
      <c r="BU140" s="374"/>
      <c r="BV140" s="374"/>
      <c r="BW140" s="374"/>
      <c r="BX140" s="374"/>
      <c r="BY140" s="374"/>
      <c r="BZ140" s="374"/>
      <c r="CA140" s="374"/>
      <c r="CB140" s="374"/>
      <c r="CC140" s="374"/>
      <c r="CD140" s="374"/>
      <c r="CE140" s="374"/>
      <c r="CF140" s="374"/>
      <c r="CG140" s="374"/>
      <c r="CH140" s="374"/>
      <c r="CI140" s="374"/>
      <c r="CJ140" s="374"/>
      <c r="CK140" s="374"/>
      <c r="CL140" s="374"/>
      <c r="CM140" s="374"/>
      <c r="CN140" s="374"/>
      <c r="CO140" s="374"/>
      <c r="CP140" s="374"/>
      <c r="CQ140" s="374"/>
      <c r="CR140" s="374"/>
      <c r="CS140" s="374"/>
      <c r="CT140" s="374"/>
      <c r="CU140" s="374"/>
      <c r="CV140" s="374"/>
      <c r="CW140" s="374"/>
      <c r="CX140" s="374"/>
      <c r="CY140" s="374"/>
      <c r="CZ140" s="374"/>
      <c r="DA140" s="374"/>
      <c r="DB140" s="374"/>
      <c r="DC140" s="374"/>
      <c r="DD140" s="374"/>
      <c r="DE140" s="374"/>
      <c r="DF140" s="374"/>
      <c r="DG140" s="374"/>
      <c r="DH140" s="374"/>
      <c r="DI140" s="374"/>
      <c r="DJ140" s="374"/>
      <c r="DK140" s="374"/>
      <c r="DL140" s="374"/>
      <c r="DM140" s="374"/>
      <c r="DN140" s="374"/>
      <c r="DO140" s="374"/>
      <c r="DP140" s="374"/>
      <c r="DQ140" s="374"/>
      <c r="DR140" s="374"/>
      <c r="DS140" s="374"/>
      <c r="DT140" s="374"/>
      <c r="DU140" s="374"/>
      <c r="DV140" s="374"/>
      <c r="DW140" s="374"/>
      <c r="DX140" s="374"/>
      <c r="DY140" s="374"/>
      <c r="DZ140" s="374"/>
      <c r="EA140" s="374"/>
      <c r="EB140" s="374"/>
      <c r="EC140" s="374"/>
      <c r="ED140" s="374"/>
      <c r="EE140" s="374"/>
      <c r="EF140" s="374"/>
      <c r="EG140" s="374"/>
      <c r="EH140" s="374"/>
      <c r="EI140" s="374"/>
      <c r="EJ140" s="374"/>
      <c r="EK140" s="374"/>
      <c r="EL140" s="374"/>
      <c r="EM140" s="374"/>
      <c r="EN140" s="374"/>
      <c r="EO140" s="374"/>
      <c r="EP140" s="374"/>
      <c r="EQ140" s="374"/>
      <c r="ER140" s="374"/>
      <c r="ES140" s="374"/>
      <c r="ET140" s="374"/>
      <c r="EU140" s="374"/>
      <c r="EV140" s="374"/>
      <c r="EW140" s="374"/>
      <c r="EX140" s="374"/>
      <c r="EY140" s="374"/>
      <c r="EZ140" s="374"/>
      <c r="FA140" s="374"/>
      <c r="FB140" s="374"/>
      <c r="FC140" s="374"/>
      <c r="FD140" s="374"/>
      <c r="FE140" s="374"/>
      <c r="FF140" s="374"/>
      <c r="FG140" s="374"/>
      <c r="FH140" s="374"/>
      <c r="FI140" s="374"/>
      <c r="FJ140" s="374"/>
      <c r="FK140" s="374"/>
      <c r="FL140" s="374"/>
      <c r="FM140" s="374"/>
      <c r="FN140" s="374"/>
      <c r="FO140" s="374"/>
      <c r="FP140" s="374"/>
      <c r="FQ140" s="374"/>
      <c r="FR140" s="374"/>
      <c r="FS140" s="374"/>
      <c r="FT140" s="374"/>
      <c r="FU140" s="374"/>
      <c r="FV140" s="374"/>
      <c r="FW140" s="374"/>
      <c r="FX140" s="374"/>
      <c r="FY140" s="374"/>
      <c r="FZ140" s="374"/>
      <c r="GA140" s="374"/>
      <c r="GB140" s="374"/>
      <c r="GC140" s="374"/>
      <c r="GD140" s="374"/>
      <c r="GE140" s="374"/>
      <c r="GF140" s="374"/>
      <c r="GG140" s="374"/>
      <c r="GH140" s="374"/>
      <c r="GI140" s="374"/>
      <c r="GJ140" s="374"/>
      <c r="GK140" s="374"/>
      <c r="GL140" s="374"/>
      <c r="GM140" s="374"/>
      <c r="GN140" s="374"/>
      <c r="GO140" s="374"/>
      <c r="GP140" s="374"/>
      <c r="GQ140" s="374"/>
      <c r="GR140" s="374"/>
      <c r="GS140" s="374"/>
      <c r="GT140" s="374"/>
      <c r="GU140" s="374"/>
      <c r="GV140" s="374"/>
      <c r="GW140" s="374"/>
      <c r="GX140" s="374"/>
      <c r="GY140" s="374"/>
      <c r="GZ140" s="374"/>
      <c r="HA140" s="374"/>
      <c r="HB140" s="374"/>
      <c r="HC140" s="374"/>
      <c r="HD140" s="374"/>
      <c r="HE140" s="374"/>
      <c r="HF140" s="374"/>
      <c r="HG140" s="374"/>
      <c r="HH140" s="374"/>
      <c r="HI140" s="374"/>
      <c r="HJ140" s="374"/>
      <c r="HK140" s="374"/>
      <c r="HL140" s="374"/>
      <c r="HM140" s="374"/>
      <c r="HN140" s="374"/>
      <c r="HO140" s="374"/>
      <c r="HP140" s="374"/>
      <c r="HQ140" s="374"/>
      <c r="HR140" s="374"/>
      <c r="HS140" s="374"/>
      <c r="HT140" s="374"/>
      <c r="HU140" s="374"/>
      <c r="HV140" s="374"/>
      <c r="HW140" s="374"/>
      <c r="HX140" s="374"/>
      <c r="HY140" s="374"/>
      <c r="HZ140" s="374"/>
      <c r="IA140" s="374"/>
      <c r="IB140" s="374"/>
      <c r="IC140" s="374"/>
      <c r="ID140" s="374"/>
      <c r="IE140" s="374"/>
      <c r="IF140" s="374"/>
      <c r="IG140" s="374"/>
      <c r="IH140" s="374"/>
      <c r="II140" s="374"/>
      <c r="IJ140" s="374"/>
      <c r="IK140" s="374"/>
      <c r="IL140" s="374"/>
      <c r="IM140" s="374"/>
      <c r="IN140" s="374"/>
      <c r="IO140" s="374"/>
      <c r="IP140" s="374"/>
      <c r="IQ140" s="374"/>
      <c r="IR140" s="374"/>
      <c r="IS140" s="374"/>
      <c r="IT140" s="374"/>
      <c r="IU140" s="374"/>
      <c r="IV140" s="374"/>
      <c r="IW140" s="374"/>
      <c r="IX140" s="374"/>
      <c r="IY140" s="374"/>
      <c r="IZ140" s="374"/>
      <c r="JA140" s="374"/>
      <c r="JB140" s="374"/>
      <c r="JC140" s="374"/>
      <c r="JD140" s="374"/>
      <c r="JE140" s="374"/>
      <c r="JF140" s="374"/>
      <c r="JG140" s="374"/>
      <c r="JH140" s="374"/>
      <c r="JI140" s="374"/>
      <c r="JJ140" s="374"/>
      <c r="JK140" s="374"/>
      <c r="JL140" s="374"/>
      <c r="JM140" s="374"/>
      <c r="JN140" s="374"/>
      <c r="JO140" s="374"/>
      <c r="JP140" s="374"/>
      <c r="JQ140" s="374"/>
      <c r="JR140" s="374"/>
      <c r="JS140" s="374"/>
      <c r="JT140" s="374"/>
      <c r="JU140" s="374"/>
      <c r="JV140" s="374"/>
      <c r="JW140" s="374"/>
      <c r="JX140" s="374"/>
      <c r="JY140" s="374"/>
      <c r="JZ140" s="374"/>
      <c r="KA140" s="374"/>
      <c r="KB140" s="374"/>
      <c r="KC140" s="374"/>
      <c r="KD140" s="374"/>
      <c r="KE140" s="374"/>
      <c r="KF140" s="374"/>
      <c r="KG140" s="374"/>
      <c r="KH140" s="374"/>
      <c r="KI140" s="374"/>
      <c r="KJ140" s="374"/>
      <c r="KK140" s="374"/>
      <c r="KL140" s="374"/>
      <c r="KM140" s="374"/>
      <c r="KN140" s="374"/>
      <c r="KO140" s="374"/>
      <c r="KP140" s="374"/>
      <c r="KQ140" s="374"/>
      <c r="KR140" s="374"/>
      <c r="KS140" s="374"/>
      <c r="KT140" s="374"/>
      <c r="KU140" s="374"/>
      <c r="KV140" s="374"/>
      <c r="KW140" s="374"/>
      <c r="KX140" s="374"/>
      <c r="KY140" s="374"/>
      <c r="KZ140" s="374"/>
      <c r="LA140" s="374"/>
      <c r="LB140" s="374"/>
      <c r="LC140" s="374"/>
      <c r="LD140" s="374"/>
      <c r="LE140" s="374"/>
      <c r="LF140" s="374"/>
      <c r="LG140" s="374"/>
      <c r="LH140" s="374"/>
      <c r="LI140" s="374"/>
      <c r="LJ140" s="374"/>
      <c r="LK140" s="374"/>
      <c r="LL140" s="374"/>
      <c r="LM140" s="374"/>
      <c r="LN140" s="374"/>
      <c r="LO140" s="374"/>
      <c r="LP140" s="374"/>
      <c r="LQ140" s="374"/>
    </row>
    <row r="141" spans="1:329" s="259" customFormat="1">
      <c r="A141" s="528" t="s">
        <v>243</v>
      </c>
      <c r="B141" s="593">
        <f>COUNTIF(A142:A148,"Yes")</f>
        <v>0</v>
      </c>
      <c r="C141" s="269"/>
      <c r="D141" s="506"/>
      <c r="E141" s="270" t="s">
        <v>244</v>
      </c>
      <c r="F141" s="460">
        <f>SUM(F142:F148)</f>
        <v>4</v>
      </c>
      <c r="G141" s="318"/>
      <c r="H141" s="254"/>
      <c r="I141" s="254"/>
      <c r="J141" s="254"/>
      <c r="K141" s="254"/>
      <c r="N141" s="374"/>
      <c r="O141" s="374"/>
      <c r="P141" s="374"/>
      <c r="Q141" s="374"/>
      <c r="R141" s="374"/>
      <c r="S141" s="374"/>
      <c r="T141" s="374"/>
      <c r="U141" s="374"/>
      <c r="V141" s="374"/>
      <c r="W141" s="374"/>
      <c r="X141" s="374"/>
      <c r="Y141" s="374"/>
      <c r="Z141" s="374"/>
      <c r="AA141" s="374"/>
      <c r="AB141" s="374"/>
      <c r="AC141" s="374"/>
      <c r="AD141" s="374"/>
      <c r="AE141" s="374"/>
      <c r="AF141" s="374"/>
      <c r="AG141" s="374"/>
      <c r="AH141" s="374"/>
      <c r="AI141" s="374"/>
      <c r="AJ141" s="374"/>
      <c r="AK141" s="374"/>
      <c r="AL141" s="374"/>
      <c r="AM141" s="374"/>
      <c r="AN141" s="374"/>
      <c r="AO141" s="374"/>
      <c r="AP141" s="374"/>
      <c r="AQ141" s="374"/>
      <c r="AR141" s="374"/>
      <c r="AS141" s="374"/>
      <c r="AT141" s="374"/>
      <c r="AU141" s="374"/>
      <c r="AV141" s="374"/>
      <c r="AW141" s="374"/>
      <c r="AX141" s="374"/>
      <c r="AY141" s="374"/>
      <c r="AZ141" s="374"/>
      <c r="BA141" s="374"/>
      <c r="BB141" s="374"/>
      <c r="BC141" s="374"/>
      <c r="BD141" s="374"/>
      <c r="BE141" s="374"/>
      <c r="BF141" s="374"/>
      <c r="BG141" s="374"/>
      <c r="BH141" s="374"/>
      <c r="BI141" s="374"/>
      <c r="BJ141" s="374"/>
      <c r="BK141" s="374"/>
      <c r="BL141" s="374"/>
      <c r="BM141" s="374"/>
      <c r="BN141" s="374"/>
      <c r="BO141" s="374"/>
      <c r="BP141" s="374"/>
      <c r="BQ141" s="374"/>
      <c r="BR141" s="374"/>
      <c r="BS141" s="374"/>
      <c r="BT141" s="374"/>
      <c r="BU141" s="374"/>
      <c r="BV141" s="374"/>
      <c r="BW141" s="374"/>
      <c r="BX141" s="374"/>
      <c r="BY141" s="374"/>
      <c r="BZ141" s="374"/>
      <c r="CA141" s="374"/>
      <c r="CB141" s="374"/>
      <c r="CC141" s="374"/>
      <c r="CD141" s="374"/>
      <c r="CE141" s="374"/>
      <c r="CF141" s="374"/>
      <c r="CG141" s="374"/>
      <c r="CH141" s="374"/>
      <c r="CI141" s="374"/>
      <c r="CJ141" s="374"/>
      <c r="CK141" s="374"/>
      <c r="CL141" s="374"/>
      <c r="CM141" s="374"/>
      <c r="CN141" s="374"/>
      <c r="CO141" s="374"/>
      <c r="CP141" s="374"/>
      <c r="CQ141" s="374"/>
      <c r="CR141" s="374"/>
      <c r="CS141" s="374"/>
      <c r="CT141" s="374"/>
      <c r="CU141" s="374"/>
      <c r="CV141" s="374"/>
      <c r="CW141" s="374"/>
      <c r="CX141" s="374"/>
      <c r="CY141" s="374"/>
      <c r="CZ141" s="374"/>
      <c r="DA141" s="374"/>
      <c r="DB141" s="374"/>
      <c r="DC141" s="374"/>
      <c r="DD141" s="374"/>
      <c r="DE141" s="374"/>
      <c r="DF141" s="374"/>
      <c r="DG141" s="374"/>
      <c r="DH141" s="374"/>
      <c r="DI141" s="374"/>
      <c r="DJ141" s="374"/>
      <c r="DK141" s="374"/>
      <c r="DL141" s="374"/>
      <c r="DM141" s="374"/>
      <c r="DN141" s="374"/>
      <c r="DO141" s="374"/>
      <c r="DP141" s="374"/>
      <c r="DQ141" s="374"/>
      <c r="DR141" s="374"/>
      <c r="DS141" s="374"/>
      <c r="DT141" s="374"/>
      <c r="DU141" s="374"/>
      <c r="DV141" s="374"/>
      <c r="DW141" s="374"/>
      <c r="DX141" s="374"/>
      <c r="DY141" s="374"/>
      <c r="DZ141" s="374"/>
      <c r="EA141" s="374"/>
      <c r="EB141" s="374"/>
      <c r="EC141" s="374"/>
      <c r="ED141" s="374"/>
      <c r="EE141" s="374"/>
      <c r="EF141" s="374"/>
      <c r="EG141" s="374"/>
      <c r="EH141" s="374"/>
      <c r="EI141" s="374"/>
      <c r="EJ141" s="374"/>
      <c r="EK141" s="374"/>
      <c r="EL141" s="374"/>
      <c r="EM141" s="374"/>
      <c r="EN141" s="374"/>
      <c r="EO141" s="374"/>
      <c r="EP141" s="374"/>
      <c r="EQ141" s="374"/>
      <c r="ER141" s="374"/>
      <c r="ES141" s="374"/>
      <c r="ET141" s="374"/>
      <c r="EU141" s="374"/>
      <c r="EV141" s="374"/>
      <c r="EW141" s="374"/>
      <c r="EX141" s="374"/>
      <c r="EY141" s="374"/>
      <c r="EZ141" s="374"/>
      <c r="FA141" s="374"/>
      <c r="FB141" s="374"/>
      <c r="FC141" s="374"/>
      <c r="FD141" s="374"/>
      <c r="FE141" s="374"/>
      <c r="FF141" s="374"/>
      <c r="FG141" s="374"/>
      <c r="FH141" s="374"/>
      <c r="FI141" s="374"/>
      <c r="FJ141" s="374"/>
      <c r="FK141" s="374"/>
      <c r="FL141" s="374"/>
      <c r="FM141" s="374"/>
      <c r="FN141" s="374"/>
      <c r="FO141" s="374"/>
      <c r="FP141" s="374"/>
      <c r="FQ141" s="374"/>
      <c r="FR141" s="374"/>
      <c r="FS141" s="374"/>
      <c r="FT141" s="374"/>
      <c r="FU141" s="374"/>
      <c r="FV141" s="374"/>
      <c r="FW141" s="374"/>
      <c r="FX141" s="374"/>
      <c r="FY141" s="374"/>
      <c r="FZ141" s="374"/>
      <c r="GA141" s="374"/>
      <c r="GB141" s="374"/>
      <c r="GC141" s="374"/>
      <c r="GD141" s="374"/>
      <c r="GE141" s="374"/>
      <c r="GF141" s="374"/>
      <c r="GG141" s="374"/>
      <c r="GH141" s="374"/>
      <c r="GI141" s="374"/>
      <c r="GJ141" s="374"/>
      <c r="GK141" s="374"/>
      <c r="GL141" s="374"/>
      <c r="GM141" s="374"/>
      <c r="GN141" s="374"/>
      <c r="GO141" s="374"/>
      <c r="GP141" s="374"/>
      <c r="GQ141" s="374"/>
      <c r="GR141" s="374"/>
      <c r="GS141" s="374"/>
      <c r="GT141" s="374"/>
      <c r="GU141" s="374"/>
      <c r="GV141" s="374"/>
      <c r="GW141" s="374"/>
      <c r="GX141" s="374"/>
      <c r="GY141" s="374"/>
      <c r="GZ141" s="374"/>
      <c r="HA141" s="374"/>
      <c r="HB141" s="374"/>
      <c r="HC141" s="374"/>
      <c r="HD141" s="374"/>
      <c r="HE141" s="374"/>
      <c r="HF141" s="374"/>
      <c r="HG141" s="374"/>
      <c r="HH141" s="374"/>
      <c r="HI141" s="374"/>
      <c r="HJ141" s="374"/>
      <c r="HK141" s="374"/>
      <c r="HL141" s="374"/>
      <c r="HM141" s="374"/>
      <c r="HN141" s="374"/>
      <c r="HO141" s="374"/>
      <c r="HP141" s="374"/>
      <c r="HQ141" s="374"/>
      <c r="HR141" s="374"/>
      <c r="HS141" s="374"/>
      <c r="HT141" s="374"/>
      <c r="HU141" s="374"/>
      <c r="HV141" s="374"/>
      <c r="HW141" s="374"/>
      <c r="HX141" s="374"/>
      <c r="HY141" s="374"/>
      <c r="HZ141" s="374"/>
      <c r="IA141" s="374"/>
      <c r="IB141" s="374"/>
      <c r="IC141" s="374"/>
      <c r="ID141" s="374"/>
      <c r="IE141" s="374"/>
      <c r="IF141" s="374"/>
      <c r="IG141" s="374"/>
      <c r="IH141" s="374"/>
      <c r="II141" s="374"/>
      <c r="IJ141" s="374"/>
      <c r="IK141" s="374"/>
      <c r="IL141" s="374"/>
      <c r="IM141" s="374"/>
      <c r="IN141" s="374"/>
      <c r="IO141" s="374"/>
      <c r="IP141" s="374"/>
      <c r="IQ141" s="374"/>
      <c r="IR141" s="374"/>
      <c r="IS141" s="374"/>
      <c r="IT141" s="374"/>
      <c r="IU141" s="374"/>
      <c r="IV141" s="374"/>
      <c r="IW141" s="374"/>
      <c r="IX141" s="374"/>
      <c r="IY141" s="374"/>
      <c r="IZ141" s="374"/>
      <c r="JA141" s="374"/>
      <c r="JB141" s="374"/>
      <c r="JC141" s="374"/>
      <c r="JD141" s="374"/>
      <c r="JE141" s="374"/>
      <c r="JF141" s="374"/>
      <c r="JG141" s="374"/>
      <c r="JH141" s="374"/>
      <c r="JI141" s="374"/>
      <c r="JJ141" s="374"/>
      <c r="JK141" s="374"/>
      <c r="JL141" s="374"/>
      <c r="JM141" s="374"/>
      <c r="JN141" s="374"/>
      <c r="JO141" s="374"/>
      <c r="JP141" s="374"/>
      <c r="JQ141" s="374"/>
      <c r="JR141" s="374"/>
      <c r="JS141" s="374"/>
      <c r="JT141" s="374"/>
      <c r="JU141" s="374"/>
      <c r="JV141" s="374"/>
      <c r="JW141" s="374"/>
      <c r="JX141" s="374"/>
      <c r="JY141" s="374"/>
      <c r="JZ141" s="374"/>
      <c r="KA141" s="374"/>
      <c r="KB141" s="374"/>
      <c r="KC141" s="374"/>
      <c r="KD141" s="374"/>
      <c r="KE141" s="374"/>
      <c r="KF141" s="374"/>
      <c r="KG141" s="374"/>
      <c r="KH141" s="374"/>
      <c r="KI141" s="374"/>
      <c r="KJ141" s="374"/>
      <c r="KK141" s="374"/>
      <c r="KL141" s="374"/>
      <c r="KM141" s="374"/>
      <c r="KN141" s="374"/>
      <c r="KO141" s="374"/>
      <c r="KP141" s="374"/>
      <c r="KQ141" s="374"/>
      <c r="KR141" s="374"/>
      <c r="KS141" s="374"/>
      <c r="KT141" s="374"/>
      <c r="KU141" s="374"/>
      <c r="KV141" s="374"/>
      <c r="KW141" s="374"/>
      <c r="KX141" s="374"/>
      <c r="KY141" s="374"/>
      <c r="KZ141" s="374"/>
      <c r="LA141" s="374"/>
      <c r="LB141" s="374"/>
      <c r="LC141" s="374"/>
      <c r="LD141" s="374"/>
      <c r="LE141" s="374"/>
      <c r="LF141" s="374"/>
      <c r="LG141" s="374"/>
      <c r="LH141" s="374"/>
      <c r="LI141" s="374"/>
      <c r="LJ141" s="374"/>
      <c r="LK141" s="374"/>
      <c r="LL141" s="374"/>
      <c r="LM141" s="374"/>
      <c r="LN141" s="374"/>
      <c r="LO141" s="374"/>
      <c r="LP141" s="374"/>
      <c r="LQ141" s="374"/>
    </row>
    <row r="142" spans="1:329">
      <c r="A142" s="530"/>
      <c r="B142" s="294" t="s">
        <v>400</v>
      </c>
      <c r="C142" s="276"/>
      <c r="D142" s="507" t="s">
        <v>448</v>
      </c>
      <c r="E142" s="314"/>
      <c r="F142" s="469">
        <v>1</v>
      </c>
      <c r="G142" s="319" t="s">
        <v>447</v>
      </c>
    </row>
    <row r="143" spans="1:329">
      <c r="A143" s="535"/>
      <c r="B143" s="260"/>
      <c r="C143" s="277"/>
      <c r="D143" s="497"/>
      <c r="E143" s="304" t="s">
        <v>449</v>
      </c>
      <c r="F143" s="466"/>
      <c r="G143" s="319" t="s">
        <v>447</v>
      </c>
      <c r="H143" s="316" t="s">
        <v>448</v>
      </c>
      <c r="I143" s="276" t="s">
        <v>400</v>
      </c>
    </row>
    <row r="144" spans="1:329">
      <c r="A144" s="530"/>
      <c r="B144" s="294" t="s">
        <v>406</v>
      </c>
      <c r="C144" s="277"/>
      <c r="D144" s="508" t="s">
        <v>450</v>
      </c>
      <c r="E144" s="296"/>
      <c r="F144" s="462">
        <v>1</v>
      </c>
      <c r="G144" s="319" t="s">
        <v>447</v>
      </c>
    </row>
    <row r="145" spans="1:329">
      <c r="A145" s="535"/>
      <c r="B145" s="260"/>
      <c r="C145" s="277"/>
      <c r="D145" s="497"/>
      <c r="E145" s="304" t="s">
        <v>451</v>
      </c>
      <c r="F145" s="466"/>
      <c r="G145" s="319" t="s">
        <v>447</v>
      </c>
      <c r="H145" s="316" t="s">
        <v>450</v>
      </c>
      <c r="I145" s="276" t="s">
        <v>406</v>
      </c>
    </row>
    <row r="146" spans="1:329">
      <c r="A146" s="530"/>
      <c r="B146" s="294" t="s">
        <v>437</v>
      </c>
      <c r="C146" s="277"/>
      <c r="D146" s="508" t="s">
        <v>452</v>
      </c>
      <c r="E146" s="296"/>
      <c r="F146" s="462">
        <v>1</v>
      </c>
      <c r="G146" s="319" t="s">
        <v>447</v>
      </c>
    </row>
    <row r="147" spans="1:329">
      <c r="A147" s="535"/>
      <c r="B147" s="260"/>
      <c r="C147" s="277"/>
      <c r="D147" s="497"/>
      <c r="E147" s="304" t="s">
        <v>453</v>
      </c>
      <c r="F147" s="466"/>
      <c r="G147" s="319" t="s">
        <v>447</v>
      </c>
      <c r="H147" s="316" t="s">
        <v>452</v>
      </c>
      <c r="I147" s="276" t="s">
        <v>437</v>
      </c>
    </row>
    <row r="148" spans="1:329">
      <c r="A148" s="530"/>
      <c r="B148" s="294" t="s">
        <v>440</v>
      </c>
      <c r="C148" s="277"/>
      <c r="D148" s="508" t="s">
        <v>454</v>
      </c>
      <c r="E148" s="296"/>
      <c r="F148" s="462">
        <v>1</v>
      </c>
      <c r="G148" s="319" t="s">
        <v>447</v>
      </c>
    </row>
    <row r="149" spans="1:329">
      <c r="A149" s="536"/>
      <c r="B149" s="298"/>
      <c r="C149" s="278"/>
      <c r="D149" s="497"/>
      <c r="E149" s="320" t="s">
        <v>455</v>
      </c>
      <c r="F149" s="467"/>
      <c r="G149" s="319" t="s">
        <v>447</v>
      </c>
      <c r="H149" s="316" t="s">
        <v>454</v>
      </c>
      <c r="I149" s="276" t="s">
        <v>440</v>
      </c>
    </row>
    <row r="150" spans="1:329">
      <c r="A150" s="539" t="s">
        <v>456</v>
      </c>
      <c r="B150" s="321"/>
      <c r="C150" s="322"/>
      <c r="D150" s="510"/>
      <c r="E150" s="323" t="s">
        <v>244</v>
      </c>
      <c r="F150" s="470">
        <f>SUM(F141,F128,F109,F87,F50,F39,F21)</f>
        <v>110</v>
      </c>
    </row>
    <row r="151" spans="1:329" s="259" customFormat="1">
      <c r="A151" s="540">
        <f>SUM(B141,B128,B109,B87,B50,B39,B21)</f>
        <v>51</v>
      </c>
      <c r="B151" s="324" t="s">
        <v>237</v>
      </c>
      <c r="C151" s="325"/>
      <c r="D151" s="511"/>
      <c r="E151" s="326"/>
      <c r="F151" s="471"/>
      <c r="G151" s="327"/>
      <c r="H151" s="318"/>
      <c r="I151" s="254"/>
      <c r="J151" s="254" t="s">
        <v>317</v>
      </c>
      <c r="K151" s="254"/>
      <c r="N151" s="374"/>
      <c r="O151" s="374"/>
      <c r="P151" s="374"/>
      <c r="Q151" s="374"/>
      <c r="R151" s="374"/>
      <c r="S151" s="374"/>
      <c r="T151" s="374"/>
      <c r="U151" s="374"/>
      <c r="V151" s="374"/>
      <c r="W151" s="374"/>
      <c r="X151" s="374"/>
      <c r="Y151" s="374"/>
      <c r="Z151" s="374"/>
      <c r="AA151" s="374"/>
      <c r="AB151" s="374"/>
      <c r="AC151" s="374"/>
      <c r="AD151" s="374"/>
      <c r="AE151" s="374"/>
      <c r="AF151" s="374"/>
      <c r="AG151" s="374"/>
      <c r="AH151" s="374"/>
      <c r="AI151" s="374"/>
      <c r="AJ151" s="374"/>
      <c r="AK151" s="374"/>
      <c r="AL151" s="374"/>
      <c r="AM151" s="374"/>
      <c r="AN151" s="374"/>
      <c r="AO151" s="374"/>
      <c r="AP151" s="374"/>
      <c r="AQ151" s="374"/>
      <c r="AR151" s="374"/>
      <c r="AS151" s="374"/>
      <c r="AT151" s="374"/>
      <c r="AU151" s="374"/>
      <c r="AV151" s="374"/>
      <c r="AW151" s="374"/>
      <c r="AX151" s="374"/>
      <c r="AY151" s="374"/>
      <c r="AZ151" s="374"/>
      <c r="BA151" s="374"/>
      <c r="BB151" s="374"/>
      <c r="BC151" s="374"/>
      <c r="BD151" s="374"/>
      <c r="BE151" s="374"/>
      <c r="BF151" s="374"/>
      <c r="BG151" s="374"/>
      <c r="BH151" s="374"/>
      <c r="BI151" s="374"/>
      <c r="BJ151" s="374"/>
      <c r="BK151" s="374"/>
      <c r="BL151" s="374"/>
      <c r="BM151" s="374"/>
      <c r="BN151" s="374"/>
      <c r="BO151" s="374"/>
      <c r="BP151" s="374"/>
      <c r="BQ151" s="374"/>
      <c r="BR151" s="374"/>
      <c r="BS151" s="374"/>
      <c r="BT151" s="374"/>
      <c r="BU151" s="374"/>
      <c r="BV151" s="374"/>
      <c r="BW151" s="374"/>
      <c r="BX151" s="374"/>
      <c r="BY151" s="374"/>
      <c r="BZ151" s="374"/>
      <c r="CA151" s="374"/>
      <c r="CB151" s="374"/>
      <c r="CC151" s="374"/>
      <c r="CD151" s="374"/>
      <c r="CE151" s="374"/>
      <c r="CF151" s="374"/>
      <c r="CG151" s="374"/>
      <c r="CH151" s="374"/>
      <c r="CI151" s="374"/>
      <c r="CJ151" s="374"/>
      <c r="CK151" s="374"/>
      <c r="CL151" s="374"/>
      <c r="CM151" s="374"/>
      <c r="CN151" s="374"/>
      <c r="CO151" s="374"/>
      <c r="CP151" s="374"/>
      <c r="CQ151" s="374"/>
      <c r="CR151" s="374"/>
      <c r="CS151" s="374"/>
      <c r="CT151" s="374"/>
      <c r="CU151" s="374"/>
      <c r="CV151" s="374"/>
      <c r="CW151" s="374"/>
      <c r="CX151" s="374"/>
      <c r="CY151" s="374"/>
      <c r="CZ151" s="374"/>
      <c r="DA151" s="374"/>
      <c r="DB151" s="374"/>
      <c r="DC151" s="374"/>
      <c r="DD151" s="374"/>
      <c r="DE151" s="374"/>
      <c r="DF151" s="374"/>
      <c r="DG151" s="374"/>
      <c r="DH151" s="374"/>
      <c r="DI151" s="374"/>
      <c r="DJ151" s="374"/>
      <c r="DK151" s="374"/>
      <c r="DL151" s="374"/>
      <c r="DM151" s="374"/>
      <c r="DN151" s="374"/>
      <c r="DO151" s="374"/>
      <c r="DP151" s="374"/>
      <c r="DQ151" s="374"/>
      <c r="DR151" s="374"/>
      <c r="DS151" s="374"/>
      <c r="DT151" s="374"/>
      <c r="DU151" s="374"/>
      <c r="DV151" s="374"/>
      <c r="DW151" s="374"/>
      <c r="DX151" s="374"/>
      <c r="DY151" s="374"/>
      <c r="DZ151" s="374"/>
      <c r="EA151" s="374"/>
      <c r="EB151" s="374"/>
      <c r="EC151" s="374"/>
      <c r="ED151" s="374"/>
      <c r="EE151" s="374"/>
      <c r="EF151" s="374"/>
      <c r="EG151" s="374"/>
      <c r="EH151" s="374"/>
      <c r="EI151" s="374"/>
      <c r="EJ151" s="374"/>
      <c r="EK151" s="374"/>
      <c r="EL151" s="374"/>
      <c r="EM151" s="374"/>
      <c r="EN151" s="374"/>
      <c r="EO151" s="374"/>
      <c r="EP151" s="374"/>
      <c r="EQ151" s="374"/>
      <c r="ER151" s="374"/>
      <c r="ES151" s="374"/>
      <c r="ET151" s="374"/>
      <c r="EU151" s="374"/>
      <c r="EV151" s="374"/>
      <c r="EW151" s="374"/>
      <c r="EX151" s="374"/>
      <c r="EY151" s="374"/>
      <c r="EZ151" s="374"/>
      <c r="FA151" s="374"/>
      <c r="FB151" s="374"/>
      <c r="FC151" s="374"/>
      <c r="FD151" s="374"/>
      <c r="FE151" s="374"/>
      <c r="FF151" s="374"/>
      <c r="FG151" s="374"/>
      <c r="FH151" s="374"/>
      <c r="FI151" s="374"/>
      <c r="FJ151" s="374"/>
      <c r="FK151" s="374"/>
      <c r="FL151" s="374"/>
      <c r="FM151" s="374"/>
      <c r="FN151" s="374"/>
      <c r="FO151" s="374"/>
      <c r="FP151" s="374"/>
      <c r="FQ151" s="374"/>
      <c r="FR151" s="374"/>
      <c r="FS151" s="374"/>
      <c r="FT151" s="374"/>
      <c r="FU151" s="374"/>
      <c r="FV151" s="374"/>
      <c r="FW151" s="374"/>
      <c r="FX151" s="374"/>
      <c r="FY151" s="374"/>
      <c r="FZ151" s="374"/>
      <c r="GA151" s="374"/>
      <c r="GB151" s="374"/>
      <c r="GC151" s="374"/>
      <c r="GD151" s="374"/>
      <c r="GE151" s="374"/>
      <c r="GF151" s="374"/>
      <c r="GG151" s="374"/>
      <c r="GH151" s="374"/>
      <c r="GI151" s="374"/>
      <c r="GJ151" s="374"/>
      <c r="GK151" s="374"/>
      <c r="GL151" s="374"/>
      <c r="GM151" s="374"/>
      <c r="GN151" s="374"/>
      <c r="GO151" s="374"/>
      <c r="GP151" s="374"/>
      <c r="GQ151" s="374"/>
      <c r="GR151" s="374"/>
      <c r="GS151" s="374"/>
      <c r="GT151" s="374"/>
      <c r="GU151" s="374"/>
      <c r="GV151" s="374"/>
      <c r="GW151" s="374"/>
      <c r="GX151" s="374"/>
      <c r="GY151" s="374"/>
      <c r="GZ151" s="374"/>
      <c r="HA151" s="374"/>
      <c r="HB151" s="374"/>
      <c r="HC151" s="374"/>
      <c r="HD151" s="374"/>
      <c r="HE151" s="374"/>
      <c r="HF151" s="374"/>
      <c r="HG151" s="374"/>
      <c r="HH151" s="374"/>
      <c r="HI151" s="374"/>
      <c r="HJ151" s="374"/>
      <c r="HK151" s="374"/>
      <c r="HL151" s="374"/>
      <c r="HM151" s="374"/>
      <c r="HN151" s="374"/>
      <c r="HO151" s="374"/>
      <c r="HP151" s="374"/>
      <c r="HQ151" s="374"/>
      <c r="HR151" s="374"/>
      <c r="HS151" s="374"/>
      <c r="HT151" s="374"/>
      <c r="HU151" s="374"/>
      <c r="HV151" s="374"/>
      <c r="HW151" s="374"/>
      <c r="HX151" s="374"/>
      <c r="HY151" s="374"/>
      <c r="HZ151" s="374"/>
      <c r="IA151" s="374"/>
      <c r="IB151" s="374"/>
      <c r="IC151" s="374"/>
      <c r="ID151" s="374"/>
      <c r="IE151" s="374"/>
      <c r="IF151" s="374"/>
      <c r="IG151" s="374"/>
      <c r="IH151" s="374"/>
      <c r="II151" s="374"/>
      <c r="IJ151" s="374"/>
      <c r="IK151" s="374"/>
      <c r="IL151" s="374"/>
      <c r="IM151" s="374"/>
      <c r="IN151" s="374"/>
      <c r="IO151" s="374"/>
      <c r="IP151" s="374"/>
      <c r="IQ151" s="374"/>
      <c r="IR151" s="374"/>
      <c r="IS151" s="374"/>
      <c r="IT151" s="374"/>
      <c r="IU151" s="374"/>
      <c r="IV151" s="374"/>
      <c r="IW151" s="374"/>
      <c r="IX151" s="374"/>
      <c r="IY151" s="374"/>
      <c r="IZ151" s="374"/>
      <c r="JA151" s="374"/>
      <c r="JB151" s="374"/>
      <c r="JC151" s="374"/>
      <c r="JD151" s="374"/>
      <c r="JE151" s="374"/>
      <c r="JF151" s="374"/>
      <c r="JG151" s="374"/>
      <c r="JH151" s="374"/>
      <c r="JI151" s="374"/>
      <c r="JJ151" s="374"/>
      <c r="JK151" s="374"/>
      <c r="JL151" s="374"/>
      <c r="JM151" s="374"/>
      <c r="JN151" s="374"/>
      <c r="JO151" s="374"/>
      <c r="JP151" s="374"/>
      <c r="JQ151" s="374"/>
      <c r="JR151" s="374"/>
      <c r="JS151" s="374"/>
      <c r="JT151" s="374"/>
      <c r="JU151" s="374"/>
      <c r="JV151" s="374"/>
      <c r="JW151" s="374"/>
      <c r="JX151" s="374"/>
      <c r="JY151" s="374"/>
      <c r="JZ151" s="374"/>
      <c r="KA151" s="374"/>
      <c r="KB151" s="374"/>
      <c r="KC151" s="374"/>
      <c r="KD151" s="374"/>
      <c r="KE151" s="374"/>
      <c r="KF151" s="374"/>
      <c r="KG151" s="374"/>
      <c r="KH151" s="374"/>
      <c r="KI151" s="374"/>
      <c r="KJ151" s="374"/>
      <c r="KK151" s="374"/>
      <c r="KL151" s="374"/>
      <c r="KM151" s="374"/>
      <c r="KN151" s="374"/>
      <c r="KO151" s="374"/>
      <c r="KP151" s="374"/>
      <c r="KQ151" s="374"/>
      <c r="KR151" s="374"/>
      <c r="KS151" s="374"/>
      <c r="KT151" s="374"/>
      <c r="KU151" s="374"/>
      <c r="KV151" s="374"/>
      <c r="KW151" s="374"/>
      <c r="KX151" s="374"/>
      <c r="KY151" s="374"/>
      <c r="KZ151" s="374"/>
      <c r="LA151" s="374"/>
      <c r="LB151" s="374"/>
      <c r="LC151" s="374"/>
      <c r="LD151" s="374"/>
      <c r="LE151" s="374"/>
      <c r="LF151" s="374"/>
      <c r="LG151" s="374"/>
      <c r="LH151" s="374"/>
      <c r="LI151" s="374"/>
      <c r="LJ151" s="374"/>
      <c r="LK151" s="374"/>
      <c r="LL151" s="374"/>
      <c r="LM151" s="374"/>
      <c r="LN151" s="374"/>
      <c r="LO151" s="374"/>
      <c r="LP151" s="374"/>
      <c r="LQ151" s="374"/>
    </row>
    <row r="152" spans="1:329" s="259" customFormat="1">
      <c r="A152" s="541">
        <f>SUM(COUNTIF(A23:A36,"Maybe"),COUNTIF(A41:A44,"Maybe"),COUNTIF(A82:A85,"Maybe"),COUNTIF(A93:A96,"Maybe"),COUNTIF(A100:A102,"Maybe"),COUNTIF(A106:A107,"Maybe"),COUNTIF(A112:A126,"Maybe"),COUNTIF(A129:A139,"Maybe"),COUNTIF(A142:A148,"Maybe"))</f>
        <v>5</v>
      </c>
      <c r="B152" s="328" t="s">
        <v>457</v>
      </c>
      <c r="D152" s="512"/>
      <c r="E152" s="329"/>
      <c r="F152" s="472"/>
      <c r="G152" s="330"/>
      <c r="H152" s="318"/>
      <c r="I152" s="254"/>
      <c r="J152" s="254" t="s">
        <v>317</v>
      </c>
      <c r="K152" s="254"/>
      <c r="N152" s="374"/>
      <c r="O152" s="374"/>
      <c r="P152" s="374"/>
      <c r="Q152" s="374"/>
      <c r="R152" s="374"/>
      <c r="S152" s="374"/>
      <c r="T152" s="374"/>
      <c r="U152" s="374"/>
      <c r="V152" s="374"/>
      <c r="W152" s="374"/>
      <c r="X152" s="374"/>
      <c r="Y152" s="374"/>
      <c r="Z152" s="374"/>
      <c r="AA152" s="374"/>
      <c r="AB152" s="374"/>
      <c r="AC152" s="374"/>
      <c r="AD152" s="374"/>
      <c r="AE152" s="374"/>
      <c r="AF152" s="374"/>
      <c r="AG152" s="374"/>
      <c r="AH152" s="374"/>
      <c r="AI152" s="374"/>
      <c r="AJ152" s="374"/>
      <c r="AK152" s="374"/>
      <c r="AL152" s="374"/>
      <c r="AM152" s="374"/>
      <c r="AN152" s="374"/>
      <c r="AO152" s="374"/>
      <c r="AP152" s="374"/>
      <c r="AQ152" s="374"/>
      <c r="AR152" s="374"/>
      <c r="AS152" s="374"/>
      <c r="AT152" s="374"/>
      <c r="AU152" s="374"/>
      <c r="AV152" s="374"/>
      <c r="AW152" s="374"/>
      <c r="AX152" s="374"/>
      <c r="AY152" s="374"/>
      <c r="AZ152" s="374"/>
      <c r="BA152" s="374"/>
      <c r="BB152" s="374"/>
      <c r="BC152" s="374"/>
      <c r="BD152" s="374"/>
      <c r="BE152" s="374"/>
      <c r="BF152" s="374"/>
      <c r="BG152" s="374"/>
      <c r="BH152" s="374"/>
      <c r="BI152" s="374"/>
      <c r="BJ152" s="374"/>
      <c r="BK152" s="374"/>
      <c r="BL152" s="374"/>
      <c r="BM152" s="374"/>
      <c r="BN152" s="374"/>
      <c r="BO152" s="374"/>
      <c r="BP152" s="374"/>
      <c r="BQ152" s="374"/>
      <c r="BR152" s="374"/>
      <c r="BS152" s="374"/>
      <c r="BT152" s="374"/>
      <c r="BU152" s="374"/>
      <c r="BV152" s="374"/>
      <c r="BW152" s="374"/>
      <c r="BX152" s="374"/>
      <c r="BY152" s="374"/>
      <c r="BZ152" s="374"/>
      <c r="CA152" s="374"/>
      <c r="CB152" s="374"/>
      <c r="CC152" s="374"/>
      <c r="CD152" s="374"/>
      <c r="CE152" s="374"/>
      <c r="CF152" s="374"/>
      <c r="CG152" s="374"/>
      <c r="CH152" s="374"/>
      <c r="CI152" s="374"/>
      <c r="CJ152" s="374"/>
      <c r="CK152" s="374"/>
      <c r="CL152" s="374"/>
      <c r="CM152" s="374"/>
      <c r="CN152" s="374"/>
      <c r="CO152" s="374"/>
      <c r="CP152" s="374"/>
      <c r="CQ152" s="374"/>
      <c r="CR152" s="374"/>
      <c r="CS152" s="374"/>
      <c r="CT152" s="374"/>
      <c r="CU152" s="374"/>
      <c r="CV152" s="374"/>
      <c r="CW152" s="374"/>
      <c r="CX152" s="374"/>
      <c r="CY152" s="374"/>
      <c r="CZ152" s="374"/>
      <c r="DA152" s="374"/>
      <c r="DB152" s="374"/>
      <c r="DC152" s="374"/>
      <c r="DD152" s="374"/>
      <c r="DE152" s="374"/>
      <c r="DF152" s="374"/>
      <c r="DG152" s="374"/>
      <c r="DH152" s="374"/>
      <c r="DI152" s="374"/>
      <c r="DJ152" s="374"/>
      <c r="DK152" s="374"/>
      <c r="DL152" s="374"/>
      <c r="DM152" s="374"/>
      <c r="DN152" s="374"/>
      <c r="DO152" s="374"/>
      <c r="DP152" s="374"/>
      <c r="DQ152" s="374"/>
      <c r="DR152" s="374"/>
      <c r="DS152" s="374"/>
      <c r="DT152" s="374"/>
      <c r="DU152" s="374"/>
      <c r="DV152" s="374"/>
      <c r="DW152" s="374"/>
      <c r="DX152" s="374"/>
      <c r="DY152" s="374"/>
      <c r="DZ152" s="374"/>
      <c r="EA152" s="374"/>
      <c r="EB152" s="374"/>
      <c r="EC152" s="374"/>
      <c r="ED152" s="374"/>
      <c r="EE152" s="374"/>
      <c r="EF152" s="374"/>
      <c r="EG152" s="374"/>
      <c r="EH152" s="374"/>
      <c r="EI152" s="374"/>
      <c r="EJ152" s="374"/>
      <c r="EK152" s="374"/>
      <c r="EL152" s="374"/>
      <c r="EM152" s="374"/>
      <c r="EN152" s="374"/>
      <c r="EO152" s="374"/>
      <c r="EP152" s="374"/>
      <c r="EQ152" s="374"/>
      <c r="ER152" s="374"/>
      <c r="ES152" s="374"/>
      <c r="ET152" s="374"/>
      <c r="EU152" s="374"/>
      <c r="EV152" s="374"/>
      <c r="EW152" s="374"/>
      <c r="EX152" s="374"/>
      <c r="EY152" s="374"/>
      <c r="EZ152" s="374"/>
      <c r="FA152" s="374"/>
      <c r="FB152" s="374"/>
      <c r="FC152" s="374"/>
      <c r="FD152" s="374"/>
      <c r="FE152" s="374"/>
      <c r="FF152" s="374"/>
      <c r="FG152" s="374"/>
      <c r="FH152" s="374"/>
      <c r="FI152" s="374"/>
      <c r="FJ152" s="374"/>
      <c r="FK152" s="374"/>
      <c r="FL152" s="374"/>
      <c r="FM152" s="374"/>
      <c r="FN152" s="374"/>
      <c r="FO152" s="374"/>
      <c r="FP152" s="374"/>
      <c r="FQ152" s="374"/>
      <c r="FR152" s="374"/>
      <c r="FS152" s="374"/>
      <c r="FT152" s="374"/>
      <c r="FU152" s="374"/>
      <c r="FV152" s="374"/>
      <c r="FW152" s="374"/>
      <c r="FX152" s="374"/>
      <c r="FY152" s="374"/>
      <c r="FZ152" s="374"/>
      <c r="GA152" s="374"/>
      <c r="GB152" s="374"/>
      <c r="GC152" s="374"/>
      <c r="GD152" s="374"/>
      <c r="GE152" s="374"/>
      <c r="GF152" s="374"/>
      <c r="GG152" s="374"/>
      <c r="GH152" s="374"/>
      <c r="GI152" s="374"/>
      <c r="GJ152" s="374"/>
      <c r="GK152" s="374"/>
      <c r="GL152" s="374"/>
      <c r="GM152" s="374"/>
      <c r="GN152" s="374"/>
      <c r="GO152" s="374"/>
      <c r="GP152" s="374"/>
      <c r="GQ152" s="374"/>
      <c r="GR152" s="374"/>
      <c r="GS152" s="374"/>
      <c r="GT152" s="374"/>
      <c r="GU152" s="374"/>
      <c r="GV152" s="374"/>
      <c r="GW152" s="374"/>
      <c r="GX152" s="374"/>
      <c r="GY152" s="374"/>
      <c r="GZ152" s="374"/>
      <c r="HA152" s="374"/>
      <c r="HB152" s="374"/>
      <c r="HC152" s="374"/>
      <c r="HD152" s="374"/>
      <c r="HE152" s="374"/>
      <c r="HF152" s="374"/>
      <c r="HG152" s="374"/>
      <c r="HH152" s="374"/>
      <c r="HI152" s="374"/>
      <c r="HJ152" s="374"/>
      <c r="HK152" s="374"/>
      <c r="HL152" s="374"/>
      <c r="HM152" s="374"/>
      <c r="HN152" s="374"/>
      <c r="HO152" s="374"/>
      <c r="HP152" s="374"/>
      <c r="HQ152" s="374"/>
      <c r="HR152" s="374"/>
      <c r="HS152" s="374"/>
      <c r="HT152" s="374"/>
      <c r="HU152" s="374"/>
      <c r="HV152" s="374"/>
      <c r="HW152" s="374"/>
      <c r="HX152" s="374"/>
      <c r="HY152" s="374"/>
      <c r="HZ152" s="374"/>
      <c r="IA152" s="374"/>
      <c r="IB152" s="374"/>
      <c r="IC152" s="374"/>
      <c r="ID152" s="374"/>
      <c r="IE152" s="374"/>
      <c r="IF152" s="374"/>
      <c r="IG152" s="374"/>
      <c r="IH152" s="374"/>
      <c r="II152" s="374"/>
      <c r="IJ152" s="374"/>
      <c r="IK152" s="374"/>
      <c r="IL152" s="374"/>
      <c r="IM152" s="374"/>
      <c r="IN152" s="374"/>
      <c r="IO152" s="374"/>
      <c r="IP152" s="374"/>
      <c r="IQ152" s="374"/>
      <c r="IR152" s="374"/>
      <c r="IS152" s="374"/>
      <c r="IT152" s="374"/>
      <c r="IU152" s="374"/>
      <c r="IV152" s="374"/>
      <c r="IW152" s="374"/>
      <c r="IX152" s="374"/>
      <c r="IY152" s="374"/>
      <c r="IZ152" s="374"/>
      <c r="JA152" s="374"/>
      <c r="JB152" s="374"/>
      <c r="JC152" s="374"/>
      <c r="JD152" s="374"/>
      <c r="JE152" s="374"/>
      <c r="JF152" s="374"/>
      <c r="JG152" s="374"/>
      <c r="JH152" s="374"/>
      <c r="JI152" s="374"/>
      <c r="JJ152" s="374"/>
      <c r="JK152" s="374"/>
      <c r="JL152" s="374"/>
      <c r="JM152" s="374"/>
      <c r="JN152" s="374"/>
      <c r="JO152" s="374"/>
      <c r="JP152" s="374"/>
      <c r="JQ152" s="374"/>
      <c r="JR152" s="374"/>
      <c r="JS152" s="374"/>
      <c r="JT152" s="374"/>
      <c r="JU152" s="374"/>
      <c r="JV152" s="374"/>
      <c r="JW152" s="374"/>
      <c r="JX152" s="374"/>
      <c r="JY152" s="374"/>
      <c r="JZ152" s="374"/>
      <c r="KA152" s="374"/>
      <c r="KB152" s="374"/>
      <c r="KC152" s="374"/>
      <c r="KD152" s="374"/>
      <c r="KE152" s="374"/>
      <c r="KF152" s="374"/>
      <c r="KG152" s="374"/>
      <c r="KH152" s="374"/>
      <c r="KI152" s="374"/>
      <c r="KJ152" s="374"/>
      <c r="KK152" s="374"/>
      <c r="KL152" s="374"/>
      <c r="KM152" s="374"/>
      <c r="KN152" s="374"/>
      <c r="KO152" s="374"/>
      <c r="KP152" s="374"/>
      <c r="KQ152" s="374"/>
      <c r="KR152" s="374"/>
      <c r="KS152" s="374"/>
      <c r="KT152" s="374"/>
      <c r="KU152" s="374"/>
      <c r="KV152" s="374"/>
      <c r="KW152" s="374"/>
      <c r="KX152" s="374"/>
      <c r="KY152" s="374"/>
      <c r="KZ152" s="374"/>
      <c r="LA152" s="374"/>
      <c r="LB152" s="374"/>
      <c r="LC152" s="374"/>
      <c r="LD152" s="374"/>
      <c r="LE152" s="374"/>
      <c r="LF152" s="374"/>
      <c r="LG152" s="374"/>
      <c r="LH152" s="374"/>
      <c r="LI152" s="374"/>
      <c r="LJ152" s="374"/>
      <c r="LK152" s="374"/>
      <c r="LL152" s="374"/>
      <c r="LM152" s="374"/>
      <c r="LN152" s="374"/>
      <c r="LO152" s="374"/>
      <c r="LP152" s="374"/>
      <c r="LQ152" s="374"/>
    </row>
    <row r="153" spans="1:329" s="259" customFormat="1">
      <c r="A153" s="542">
        <f>SUM(COUNTIF(A23:A36,"No"),COUNTIF(A41:A44,"No"),COUNTIF(A82:A85,"No"),COUNTIF(A93:A96,"No"),COUNTIF(A100:A102,"No"),COUNTIF(A106:A107,"No"),COUNTIF(A112:A126,"No"),COUNTIF(A129:A139,"No"),COUNTIF(A142:A148,"No"))</f>
        <v>7</v>
      </c>
      <c r="B153" s="328" t="s">
        <v>458</v>
      </c>
      <c r="D153" s="512"/>
      <c r="E153" s="329"/>
      <c r="F153" s="472"/>
      <c r="G153" s="330"/>
      <c r="H153" s="318"/>
      <c r="I153" s="254"/>
      <c r="J153" s="254" t="s">
        <v>317</v>
      </c>
      <c r="K153" s="254"/>
      <c r="N153" s="374"/>
      <c r="O153" s="374"/>
      <c r="P153" s="374"/>
      <c r="Q153" s="374"/>
      <c r="R153" s="374"/>
      <c r="S153" s="374"/>
      <c r="T153" s="374"/>
      <c r="U153" s="374"/>
      <c r="V153" s="374"/>
      <c r="W153" s="374"/>
      <c r="X153" s="374"/>
      <c r="Y153" s="374"/>
      <c r="Z153" s="374"/>
      <c r="AA153" s="374"/>
      <c r="AB153" s="374"/>
      <c r="AC153" s="374"/>
      <c r="AD153" s="374"/>
      <c r="AE153" s="374"/>
      <c r="AF153" s="374"/>
      <c r="AG153" s="374"/>
      <c r="AH153" s="374"/>
      <c r="AI153" s="374"/>
      <c r="AJ153" s="374"/>
      <c r="AK153" s="374"/>
      <c r="AL153" s="374"/>
      <c r="AM153" s="374"/>
      <c r="AN153" s="374"/>
      <c r="AO153" s="374"/>
      <c r="AP153" s="374"/>
      <c r="AQ153" s="374"/>
      <c r="AR153" s="374"/>
      <c r="AS153" s="374"/>
      <c r="AT153" s="374"/>
      <c r="AU153" s="374"/>
      <c r="AV153" s="374"/>
      <c r="AW153" s="374"/>
      <c r="AX153" s="374"/>
      <c r="AY153" s="374"/>
      <c r="AZ153" s="374"/>
      <c r="BA153" s="374"/>
      <c r="BB153" s="374"/>
      <c r="BC153" s="374"/>
      <c r="BD153" s="374"/>
      <c r="BE153" s="374"/>
      <c r="BF153" s="374"/>
      <c r="BG153" s="374"/>
      <c r="BH153" s="374"/>
      <c r="BI153" s="374"/>
      <c r="BJ153" s="374"/>
      <c r="BK153" s="374"/>
      <c r="BL153" s="374"/>
      <c r="BM153" s="374"/>
      <c r="BN153" s="374"/>
      <c r="BO153" s="374"/>
      <c r="BP153" s="374"/>
      <c r="BQ153" s="374"/>
      <c r="BR153" s="374"/>
      <c r="BS153" s="374"/>
      <c r="BT153" s="374"/>
      <c r="BU153" s="374"/>
      <c r="BV153" s="374"/>
      <c r="BW153" s="374"/>
      <c r="BX153" s="374"/>
      <c r="BY153" s="374"/>
      <c r="BZ153" s="374"/>
      <c r="CA153" s="374"/>
      <c r="CB153" s="374"/>
      <c r="CC153" s="374"/>
      <c r="CD153" s="374"/>
      <c r="CE153" s="374"/>
      <c r="CF153" s="374"/>
      <c r="CG153" s="374"/>
      <c r="CH153" s="374"/>
      <c r="CI153" s="374"/>
      <c r="CJ153" s="374"/>
      <c r="CK153" s="374"/>
      <c r="CL153" s="374"/>
      <c r="CM153" s="374"/>
      <c r="CN153" s="374"/>
      <c r="CO153" s="374"/>
      <c r="CP153" s="374"/>
      <c r="CQ153" s="374"/>
      <c r="CR153" s="374"/>
      <c r="CS153" s="374"/>
      <c r="CT153" s="374"/>
      <c r="CU153" s="374"/>
      <c r="CV153" s="374"/>
      <c r="CW153" s="374"/>
      <c r="CX153" s="374"/>
      <c r="CY153" s="374"/>
      <c r="CZ153" s="374"/>
      <c r="DA153" s="374"/>
      <c r="DB153" s="374"/>
      <c r="DC153" s="374"/>
      <c r="DD153" s="374"/>
      <c r="DE153" s="374"/>
      <c r="DF153" s="374"/>
      <c r="DG153" s="374"/>
      <c r="DH153" s="374"/>
      <c r="DI153" s="374"/>
      <c r="DJ153" s="374"/>
      <c r="DK153" s="374"/>
      <c r="DL153" s="374"/>
      <c r="DM153" s="374"/>
      <c r="DN153" s="374"/>
      <c r="DO153" s="374"/>
      <c r="DP153" s="374"/>
      <c r="DQ153" s="374"/>
      <c r="DR153" s="374"/>
      <c r="DS153" s="374"/>
      <c r="DT153" s="374"/>
      <c r="DU153" s="374"/>
      <c r="DV153" s="374"/>
      <c r="DW153" s="374"/>
      <c r="DX153" s="374"/>
      <c r="DY153" s="374"/>
      <c r="DZ153" s="374"/>
      <c r="EA153" s="374"/>
      <c r="EB153" s="374"/>
      <c r="EC153" s="374"/>
      <c r="ED153" s="374"/>
      <c r="EE153" s="374"/>
      <c r="EF153" s="374"/>
      <c r="EG153" s="374"/>
      <c r="EH153" s="374"/>
      <c r="EI153" s="374"/>
      <c r="EJ153" s="374"/>
      <c r="EK153" s="374"/>
      <c r="EL153" s="374"/>
      <c r="EM153" s="374"/>
      <c r="EN153" s="374"/>
      <c r="EO153" s="374"/>
      <c r="EP153" s="374"/>
      <c r="EQ153" s="374"/>
      <c r="ER153" s="374"/>
      <c r="ES153" s="374"/>
      <c r="ET153" s="374"/>
      <c r="EU153" s="374"/>
      <c r="EV153" s="374"/>
      <c r="EW153" s="374"/>
      <c r="EX153" s="374"/>
      <c r="EY153" s="374"/>
      <c r="EZ153" s="374"/>
      <c r="FA153" s="374"/>
      <c r="FB153" s="374"/>
      <c r="FC153" s="374"/>
      <c r="FD153" s="374"/>
      <c r="FE153" s="374"/>
      <c r="FF153" s="374"/>
      <c r="FG153" s="374"/>
      <c r="FH153" s="374"/>
      <c r="FI153" s="374"/>
      <c r="FJ153" s="374"/>
      <c r="FK153" s="374"/>
      <c r="FL153" s="374"/>
      <c r="FM153" s="374"/>
      <c r="FN153" s="374"/>
      <c r="FO153" s="374"/>
      <c r="FP153" s="374"/>
      <c r="FQ153" s="374"/>
      <c r="FR153" s="374"/>
      <c r="FS153" s="374"/>
      <c r="FT153" s="374"/>
      <c r="FU153" s="374"/>
      <c r="FV153" s="374"/>
      <c r="FW153" s="374"/>
      <c r="FX153" s="374"/>
      <c r="FY153" s="374"/>
      <c r="FZ153" s="374"/>
      <c r="GA153" s="374"/>
      <c r="GB153" s="374"/>
      <c r="GC153" s="374"/>
      <c r="GD153" s="374"/>
      <c r="GE153" s="374"/>
      <c r="GF153" s="374"/>
      <c r="GG153" s="374"/>
      <c r="GH153" s="374"/>
      <c r="GI153" s="374"/>
      <c r="GJ153" s="374"/>
      <c r="GK153" s="374"/>
      <c r="GL153" s="374"/>
      <c r="GM153" s="374"/>
      <c r="GN153" s="374"/>
      <c r="GO153" s="374"/>
      <c r="GP153" s="374"/>
      <c r="GQ153" s="374"/>
      <c r="GR153" s="374"/>
      <c r="GS153" s="374"/>
      <c r="GT153" s="374"/>
      <c r="GU153" s="374"/>
      <c r="GV153" s="374"/>
      <c r="GW153" s="374"/>
      <c r="GX153" s="374"/>
      <c r="GY153" s="374"/>
      <c r="GZ153" s="374"/>
      <c r="HA153" s="374"/>
      <c r="HB153" s="374"/>
      <c r="HC153" s="374"/>
      <c r="HD153" s="374"/>
      <c r="HE153" s="374"/>
      <c r="HF153" s="374"/>
      <c r="HG153" s="374"/>
      <c r="HH153" s="374"/>
      <c r="HI153" s="374"/>
      <c r="HJ153" s="374"/>
      <c r="HK153" s="374"/>
      <c r="HL153" s="374"/>
      <c r="HM153" s="374"/>
      <c r="HN153" s="374"/>
      <c r="HO153" s="374"/>
      <c r="HP153" s="374"/>
      <c r="HQ153" s="374"/>
      <c r="HR153" s="374"/>
      <c r="HS153" s="374"/>
      <c r="HT153" s="374"/>
      <c r="HU153" s="374"/>
      <c r="HV153" s="374"/>
      <c r="HW153" s="374"/>
      <c r="HX153" s="374"/>
      <c r="HY153" s="374"/>
      <c r="HZ153" s="374"/>
      <c r="IA153" s="374"/>
      <c r="IB153" s="374"/>
      <c r="IC153" s="374"/>
      <c r="ID153" s="374"/>
      <c r="IE153" s="374"/>
      <c r="IF153" s="374"/>
      <c r="IG153" s="374"/>
      <c r="IH153" s="374"/>
      <c r="II153" s="374"/>
      <c r="IJ153" s="374"/>
      <c r="IK153" s="374"/>
      <c r="IL153" s="374"/>
      <c r="IM153" s="374"/>
      <c r="IN153" s="374"/>
      <c r="IO153" s="374"/>
      <c r="IP153" s="374"/>
      <c r="IQ153" s="374"/>
      <c r="IR153" s="374"/>
      <c r="IS153" s="374"/>
      <c r="IT153" s="374"/>
      <c r="IU153" s="374"/>
      <c r="IV153" s="374"/>
      <c r="IW153" s="374"/>
      <c r="IX153" s="374"/>
      <c r="IY153" s="374"/>
      <c r="IZ153" s="374"/>
      <c r="JA153" s="374"/>
      <c r="JB153" s="374"/>
      <c r="JC153" s="374"/>
      <c r="JD153" s="374"/>
      <c r="JE153" s="374"/>
      <c r="JF153" s="374"/>
      <c r="JG153" s="374"/>
      <c r="JH153" s="374"/>
      <c r="JI153" s="374"/>
      <c r="JJ153" s="374"/>
      <c r="JK153" s="374"/>
      <c r="JL153" s="374"/>
      <c r="JM153" s="374"/>
      <c r="JN153" s="374"/>
      <c r="JO153" s="374"/>
      <c r="JP153" s="374"/>
      <c r="JQ153" s="374"/>
      <c r="JR153" s="374"/>
      <c r="JS153" s="374"/>
      <c r="JT153" s="374"/>
      <c r="JU153" s="374"/>
      <c r="JV153" s="374"/>
      <c r="JW153" s="374"/>
      <c r="JX153" s="374"/>
      <c r="JY153" s="374"/>
      <c r="JZ153" s="374"/>
      <c r="KA153" s="374"/>
      <c r="KB153" s="374"/>
      <c r="KC153" s="374"/>
      <c r="KD153" s="374"/>
      <c r="KE153" s="374"/>
      <c r="KF153" s="374"/>
      <c r="KG153" s="374"/>
      <c r="KH153" s="374"/>
      <c r="KI153" s="374"/>
      <c r="KJ153" s="374"/>
      <c r="KK153" s="374"/>
      <c r="KL153" s="374"/>
      <c r="KM153" s="374"/>
      <c r="KN153" s="374"/>
      <c r="KO153" s="374"/>
      <c r="KP153" s="374"/>
      <c r="KQ153" s="374"/>
      <c r="KR153" s="374"/>
      <c r="KS153" s="374"/>
      <c r="KT153" s="374"/>
      <c r="KU153" s="374"/>
      <c r="KV153" s="374"/>
      <c r="KW153" s="374"/>
      <c r="KX153" s="374"/>
      <c r="KY153" s="374"/>
      <c r="KZ153" s="374"/>
      <c r="LA153" s="374"/>
      <c r="LB153" s="374"/>
      <c r="LC153" s="374"/>
      <c r="LD153" s="374"/>
      <c r="LE153" s="374"/>
      <c r="LF153" s="374"/>
      <c r="LG153" s="374"/>
      <c r="LH153" s="374"/>
      <c r="LI153" s="374"/>
      <c r="LJ153" s="374"/>
      <c r="LK153" s="374"/>
      <c r="LL153" s="374"/>
      <c r="LM153" s="374"/>
      <c r="LN153" s="374"/>
      <c r="LO153" s="374"/>
      <c r="LP153" s="374"/>
      <c r="LQ153" s="374"/>
    </row>
    <row r="154" spans="1:329" s="332" customFormat="1" hidden="1">
      <c r="A154" s="543">
        <f>COUNTIF(A22,"Yes")+COUNTIF(A40,"Yes")+COUNTIF(A51:A53,"Yes")+COUNTIF(A88,"Yes")+COUNTIF(A110:A111,"Yes")</f>
        <v>8</v>
      </c>
      <c r="B154" s="331" t="s">
        <v>459</v>
      </c>
      <c r="D154" s="513"/>
      <c r="E154" s="333"/>
      <c r="F154" s="473"/>
      <c r="G154" s="334"/>
      <c r="H154" s="335"/>
      <c r="I154" s="335"/>
      <c r="J154" s="254" t="s">
        <v>317</v>
      </c>
      <c r="K154" s="335"/>
      <c r="N154" s="376"/>
      <c r="O154" s="376"/>
      <c r="P154" s="376"/>
      <c r="Q154" s="376"/>
      <c r="R154" s="376"/>
      <c r="S154" s="376"/>
      <c r="T154" s="376"/>
      <c r="U154" s="376"/>
      <c r="V154" s="376"/>
      <c r="W154" s="376"/>
      <c r="X154" s="376"/>
      <c r="Y154" s="376"/>
      <c r="Z154" s="376"/>
      <c r="AA154" s="376"/>
      <c r="AB154" s="376"/>
      <c r="AC154" s="376"/>
      <c r="AD154" s="376"/>
      <c r="AE154" s="376"/>
      <c r="AF154" s="376"/>
      <c r="AG154" s="376"/>
      <c r="AH154" s="376"/>
      <c r="AI154" s="376"/>
      <c r="AJ154" s="376"/>
      <c r="AK154" s="376"/>
      <c r="AL154" s="376"/>
      <c r="AM154" s="376"/>
      <c r="AN154" s="376"/>
      <c r="AO154" s="376"/>
      <c r="AP154" s="376"/>
      <c r="AQ154" s="376"/>
      <c r="AR154" s="376"/>
      <c r="AS154" s="376"/>
      <c r="AT154" s="376"/>
      <c r="AU154" s="376"/>
      <c r="AV154" s="376"/>
      <c r="AW154" s="376"/>
      <c r="AX154" s="376"/>
      <c r="AY154" s="376"/>
      <c r="AZ154" s="376"/>
      <c r="BA154" s="376"/>
      <c r="BB154" s="376"/>
      <c r="BC154" s="376"/>
      <c r="BD154" s="376"/>
      <c r="BE154" s="376"/>
      <c r="BF154" s="376"/>
      <c r="BG154" s="376"/>
      <c r="BH154" s="376"/>
      <c r="BI154" s="376"/>
      <c r="BJ154" s="376"/>
      <c r="BK154" s="376"/>
      <c r="BL154" s="376"/>
      <c r="BM154" s="376"/>
      <c r="BN154" s="376"/>
      <c r="BO154" s="376"/>
      <c r="BP154" s="376"/>
      <c r="BQ154" s="376"/>
      <c r="BR154" s="376"/>
      <c r="BS154" s="376"/>
      <c r="BT154" s="376"/>
      <c r="BU154" s="376"/>
      <c r="BV154" s="376"/>
      <c r="BW154" s="376"/>
      <c r="BX154" s="376"/>
      <c r="BY154" s="376"/>
      <c r="BZ154" s="376"/>
      <c r="CA154" s="376"/>
      <c r="CB154" s="376"/>
      <c r="CC154" s="376"/>
      <c r="CD154" s="376"/>
      <c r="CE154" s="376"/>
      <c r="CF154" s="376"/>
      <c r="CG154" s="376"/>
      <c r="CH154" s="376"/>
      <c r="CI154" s="376"/>
      <c r="CJ154" s="376"/>
      <c r="CK154" s="376"/>
      <c r="CL154" s="376"/>
      <c r="CM154" s="376"/>
      <c r="CN154" s="376"/>
      <c r="CO154" s="376"/>
      <c r="CP154" s="376"/>
      <c r="CQ154" s="376"/>
      <c r="CR154" s="376"/>
      <c r="CS154" s="376"/>
      <c r="CT154" s="376"/>
      <c r="CU154" s="376"/>
      <c r="CV154" s="376"/>
      <c r="CW154" s="376"/>
      <c r="CX154" s="376"/>
      <c r="CY154" s="376"/>
      <c r="CZ154" s="376"/>
      <c r="DA154" s="376"/>
      <c r="DB154" s="376"/>
      <c r="DC154" s="376"/>
      <c r="DD154" s="376"/>
      <c r="DE154" s="376"/>
      <c r="DF154" s="376"/>
      <c r="DG154" s="376"/>
      <c r="DH154" s="376"/>
      <c r="DI154" s="376"/>
      <c r="DJ154" s="376"/>
      <c r="DK154" s="376"/>
      <c r="DL154" s="376"/>
      <c r="DM154" s="376"/>
      <c r="DN154" s="376"/>
      <c r="DO154" s="376"/>
      <c r="DP154" s="376"/>
      <c r="DQ154" s="376"/>
      <c r="DR154" s="376"/>
      <c r="DS154" s="376"/>
      <c r="DT154" s="376"/>
      <c r="DU154" s="376"/>
      <c r="DV154" s="376"/>
      <c r="DW154" s="376"/>
      <c r="DX154" s="376"/>
      <c r="DY154" s="376"/>
      <c r="DZ154" s="376"/>
      <c r="EA154" s="376"/>
      <c r="EB154" s="376"/>
      <c r="EC154" s="376"/>
      <c r="ED154" s="376"/>
      <c r="EE154" s="376"/>
      <c r="EF154" s="376"/>
      <c r="EG154" s="376"/>
      <c r="EH154" s="376"/>
      <c r="EI154" s="376"/>
      <c r="EJ154" s="376"/>
      <c r="EK154" s="376"/>
      <c r="EL154" s="376"/>
      <c r="EM154" s="376"/>
      <c r="EN154" s="376"/>
      <c r="EO154" s="376"/>
      <c r="EP154" s="376"/>
      <c r="EQ154" s="376"/>
      <c r="ER154" s="376"/>
      <c r="ES154" s="376"/>
      <c r="ET154" s="376"/>
      <c r="EU154" s="376"/>
      <c r="EV154" s="376"/>
      <c r="EW154" s="376"/>
      <c r="EX154" s="376"/>
      <c r="EY154" s="376"/>
      <c r="EZ154" s="376"/>
      <c r="FA154" s="376"/>
      <c r="FB154" s="376"/>
      <c r="FC154" s="376"/>
      <c r="FD154" s="376"/>
      <c r="FE154" s="376"/>
      <c r="FF154" s="376"/>
      <c r="FG154" s="376"/>
      <c r="FH154" s="376"/>
      <c r="FI154" s="376"/>
      <c r="FJ154" s="376"/>
      <c r="FK154" s="376"/>
      <c r="FL154" s="376"/>
      <c r="FM154" s="376"/>
      <c r="FN154" s="376"/>
      <c r="FO154" s="376"/>
      <c r="FP154" s="376"/>
      <c r="FQ154" s="376"/>
      <c r="FR154" s="376"/>
      <c r="FS154" s="376"/>
      <c r="FT154" s="376"/>
      <c r="FU154" s="376"/>
      <c r="FV154" s="376"/>
      <c r="FW154" s="376"/>
      <c r="FX154" s="376"/>
      <c r="FY154" s="376"/>
      <c r="FZ154" s="376"/>
      <c r="GA154" s="376"/>
      <c r="GB154" s="376"/>
      <c r="GC154" s="376"/>
      <c r="GD154" s="376"/>
      <c r="GE154" s="376"/>
      <c r="GF154" s="376"/>
      <c r="GG154" s="376"/>
      <c r="GH154" s="376"/>
      <c r="GI154" s="376"/>
      <c r="GJ154" s="376"/>
      <c r="GK154" s="376"/>
      <c r="GL154" s="376"/>
      <c r="GM154" s="376"/>
      <c r="GN154" s="376"/>
      <c r="GO154" s="376"/>
      <c r="GP154" s="376"/>
      <c r="GQ154" s="376"/>
      <c r="GR154" s="376"/>
      <c r="GS154" s="376"/>
      <c r="GT154" s="376"/>
      <c r="GU154" s="376"/>
      <c r="GV154" s="376"/>
      <c r="GW154" s="376"/>
      <c r="GX154" s="376"/>
      <c r="GY154" s="376"/>
      <c r="GZ154" s="376"/>
      <c r="HA154" s="376"/>
      <c r="HB154" s="376"/>
      <c r="HC154" s="376"/>
      <c r="HD154" s="376"/>
      <c r="HE154" s="376"/>
      <c r="HF154" s="376"/>
      <c r="HG154" s="376"/>
      <c r="HH154" s="376"/>
      <c r="HI154" s="376"/>
      <c r="HJ154" s="376"/>
      <c r="HK154" s="376"/>
      <c r="HL154" s="376"/>
      <c r="HM154" s="376"/>
      <c r="HN154" s="376"/>
      <c r="HO154" s="376"/>
      <c r="HP154" s="376"/>
      <c r="HQ154" s="376"/>
      <c r="HR154" s="376"/>
      <c r="HS154" s="376"/>
      <c r="HT154" s="376"/>
      <c r="HU154" s="376"/>
      <c r="HV154" s="376"/>
      <c r="HW154" s="376"/>
      <c r="HX154" s="376"/>
      <c r="HY154" s="376"/>
      <c r="HZ154" s="376"/>
      <c r="IA154" s="376"/>
      <c r="IB154" s="376"/>
      <c r="IC154" s="376"/>
      <c r="ID154" s="376"/>
      <c r="IE154" s="376"/>
      <c r="IF154" s="376"/>
      <c r="IG154" s="376"/>
      <c r="IH154" s="376"/>
      <c r="II154" s="376"/>
      <c r="IJ154" s="376"/>
      <c r="IK154" s="376"/>
      <c r="IL154" s="376"/>
      <c r="IM154" s="376"/>
      <c r="IN154" s="376"/>
      <c r="IO154" s="376"/>
      <c r="IP154" s="376"/>
      <c r="IQ154" s="376"/>
      <c r="IR154" s="376"/>
      <c r="IS154" s="376"/>
      <c r="IT154" s="376"/>
      <c r="IU154" s="376"/>
      <c r="IV154" s="376"/>
      <c r="IW154" s="376"/>
      <c r="IX154" s="376"/>
      <c r="IY154" s="376"/>
      <c r="IZ154" s="376"/>
      <c r="JA154" s="376"/>
      <c r="JB154" s="376"/>
      <c r="JC154" s="376"/>
      <c r="JD154" s="376"/>
      <c r="JE154" s="376"/>
      <c r="JF154" s="376"/>
      <c r="JG154" s="376"/>
      <c r="JH154" s="376"/>
      <c r="JI154" s="376"/>
      <c r="JJ154" s="376"/>
      <c r="JK154" s="376"/>
      <c r="JL154" s="376"/>
      <c r="JM154" s="376"/>
      <c r="JN154" s="376"/>
      <c r="JO154" s="376"/>
      <c r="JP154" s="376"/>
      <c r="JQ154" s="376"/>
      <c r="JR154" s="376"/>
      <c r="JS154" s="376"/>
      <c r="JT154" s="376"/>
      <c r="JU154" s="376"/>
      <c r="JV154" s="376"/>
      <c r="JW154" s="376"/>
      <c r="JX154" s="376"/>
      <c r="JY154" s="376"/>
      <c r="JZ154" s="376"/>
      <c r="KA154" s="376"/>
      <c r="KB154" s="376"/>
      <c r="KC154" s="376"/>
      <c r="KD154" s="376"/>
      <c r="KE154" s="376"/>
      <c r="KF154" s="376"/>
      <c r="KG154" s="376"/>
      <c r="KH154" s="376"/>
      <c r="KI154" s="376"/>
      <c r="KJ154" s="376"/>
      <c r="KK154" s="376"/>
      <c r="KL154" s="376"/>
      <c r="KM154" s="376"/>
      <c r="KN154" s="376"/>
      <c r="KO154" s="376"/>
      <c r="KP154" s="376"/>
      <c r="KQ154" s="376"/>
      <c r="KR154" s="376"/>
      <c r="KS154" s="376"/>
      <c r="KT154" s="376"/>
      <c r="KU154" s="376"/>
      <c r="KV154" s="376"/>
      <c r="KW154" s="376"/>
      <c r="KX154" s="376"/>
      <c r="KY154" s="376"/>
      <c r="KZ154" s="376"/>
      <c r="LA154" s="376"/>
      <c r="LB154" s="376"/>
      <c r="LC154" s="376"/>
      <c r="LD154" s="376"/>
      <c r="LE154" s="376"/>
      <c r="LF154" s="376"/>
      <c r="LG154" s="376"/>
      <c r="LH154" s="376"/>
      <c r="LI154" s="376"/>
      <c r="LJ154" s="376"/>
      <c r="LK154" s="376"/>
      <c r="LL154" s="376"/>
      <c r="LM154" s="376"/>
      <c r="LN154" s="376"/>
      <c r="LO154" s="376"/>
      <c r="LP154" s="376"/>
      <c r="LQ154" s="376"/>
    </row>
    <row r="155" spans="1:329" s="332" customFormat="1" ht="12" hidden="1" customHeight="1">
      <c r="A155" s="543">
        <f>COUNTIF(A22,"Yes")+COUNTIF(A51:A53,"Yes")+COUNTIF(A88,"Yes")+COUNTIF(A110:A111,"Yes")</f>
        <v>7</v>
      </c>
      <c r="B155" s="331" t="s">
        <v>460</v>
      </c>
      <c r="D155" s="513"/>
      <c r="E155" s="333"/>
      <c r="F155" s="473"/>
      <c r="G155" s="334"/>
      <c r="H155" s="335"/>
      <c r="I155" s="335"/>
      <c r="J155" s="254" t="s">
        <v>317</v>
      </c>
      <c r="K155" s="335"/>
      <c r="N155" s="376"/>
      <c r="O155" s="376"/>
      <c r="P155" s="376"/>
      <c r="Q155" s="376"/>
      <c r="R155" s="376"/>
      <c r="S155" s="376"/>
      <c r="T155" s="376"/>
      <c r="U155" s="376"/>
      <c r="V155" s="376"/>
      <c r="W155" s="376"/>
      <c r="X155" s="376"/>
      <c r="Y155" s="376"/>
      <c r="Z155" s="376"/>
      <c r="AA155" s="376"/>
      <c r="AB155" s="376"/>
      <c r="AC155" s="376"/>
      <c r="AD155" s="376"/>
      <c r="AE155" s="376"/>
      <c r="AF155" s="376"/>
      <c r="AG155" s="376"/>
      <c r="AH155" s="376"/>
      <c r="AI155" s="376"/>
      <c r="AJ155" s="376"/>
      <c r="AK155" s="376"/>
      <c r="AL155" s="376"/>
      <c r="AM155" s="376"/>
      <c r="AN155" s="376"/>
      <c r="AO155" s="376"/>
      <c r="AP155" s="376"/>
      <c r="AQ155" s="376"/>
      <c r="AR155" s="376"/>
      <c r="AS155" s="376"/>
      <c r="AT155" s="376"/>
      <c r="AU155" s="376"/>
      <c r="AV155" s="376"/>
      <c r="AW155" s="376"/>
      <c r="AX155" s="376"/>
      <c r="AY155" s="376"/>
      <c r="AZ155" s="376"/>
      <c r="BA155" s="376"/>
      <c r="BB155" s="376"/>
      <c r="BC155" s="376"/>
      <c r="BD155" s="376"/>
      <c r="BE155" s="376"/>
      <c r="BF155" s="376"/>
      <c r="BG155" s="376"/>
      <c r="BH155" s="376"/>
      <c r="BI155" s="376"/>
      <c r="BJ155" s="376"/>
      <c r="BK155" s="376"/>
      <c r="BL155" s="376"/>
      <c r="BM155" s="376"/>
      <c r="BN155" s="376"/>
      <c r="BO155" s="376"/>
      <c r="BP155" s="376"/>
      <c r="BQ155" s="376"/>
      <c r="BR155" s="376"/>
      <c r="BS155" s="376"/>
      <c r="BT155" s="376"/>
      <c r="BU155" s="376"/>
      <c r="BV155" s="376"/>
      <c r="BW155" s="376"/>
      <c r="BX155" s="376"/>
      <c r="BY155" s="376"/>
      <c r="BZ155" s="376"/>
      <c r="CA155" s="376"/>
      <c r="CB155" s="376"/>
      <c r="CC155" s="376"/>
      <c r="CD155" s="376"/>
      <c r="CE155" s="376"/>
      <c r="CF155" s="376"/>
      <c r="CG155" s="376"/>
      <c r="CH155" s="376"/>
      <c r="CI155" s="376"/>
      <c r="CJ155" s="376"/>
      <c r="CK155" s="376"/>
      <c r="CL155" s="376"/>
      <c r="CM155" s="376"/>
      <c r="CN155" s="376"/>
      <c r="CO155" s="376"/>
      <c r="CP155" s="376"/>
      <c r="CQ155" s="376"/>
      <c r="CR155" s="376"/>
      <c r="CS155" s="376"/>
      <c r="CT155" s="376"/>
      <c r="CU155" s="376"/>
      <c r="CV155" s="376"/>
      <c r="CW155" s="376"/>
      <c r="CX155" s="376"/>
      <c r="CY155" s="376"/>
      <c r="CZ155" s="376"/>
      <c r="DA155" s="376"/>
      <c r="DB155" s="376"/>
      <c r="DC155" s="376"/>
      <c r="DD155" s="376"/>
      <c r="DE155" s="376"/>
      <c r="DF155" s="376"/>
      <c r="DG155" s="376"/>
      <c r="DH155" s="376"/>
      <c r="DI155" s="376"/>
      <c r="DJ155" s="376"/>
      <c r="DK155" s="376"/>
      <c r="DL155" s="376"/>
      <c r="DM155" s="376"/>
      <c r="DN155" s="376"/>
      <c r="DO155" s="376"/>
      <c r="DP155" s="376"/>
      <c r="DQ155" s="376"/>
      <c r="DR155" s="376"/>
      <c r="DS155" s="376"/>
      <c r="DT155" s="376"/>
      <c r="DU155" s="376"/>
      <c r="DV155" s="376"/>
      <c r="DW155" s="376"/>
      <c r="DX155" s="376"/>
      <c r="DY155" s="376"/>
      <c r="DZ155" s="376"/>
      <c r="EA155" s="376"/>
      <c r="EB155" s="376"/>
      <c r="EC155" s="376"/>
      <c r="ED155" s="376"/>
      <c r="EE155" s="376"/>
      <c r="EF155" s="376"/>
      <c r="EG155" s="376"/>
      <c r="EH155" s="376"/>
      <c r="EI155" s="376"/>
      <c r="EJ155" s="376"/>
      <c r="EK155" s="376"/>
      <c r="EL155" s="376"/>
      <c r="EM155" s="376"/>
      <c r="EN155" s="376"/>
      <c r="EO155" s="376"/>
      <c r="EP155" s="376"/>
      <c r="EQ155" s="376"/>
      <c r="ER155" s="376"/>
      <c r="ES155" s="376"/>
      <c r="ET155" s="376"/>
      <c r="EU155" s="376"/>
      <c r="EV155" s="376"/>
      <c r="EW155" s="376"/>
      <c r="EX155" s="376"/>
      <c r="EY155" s="376"/>
      <c r="EZ155" s="376"/>
      <c r="FA155" s="376"/>
      <c r="FB155" s="376"/>
      <c r="FC155" s="376"/>
      <c r="FD155" s="376"/>
      <c r="FE155" s="376"/>
      <c r="FF155" s="376"/>
      <c r="FG155" s="376"/>
      <c r="FH155" s="376"/>
      <c r="FI155" s="376"/>
      <c r="FJ155" s="376"/>
      <c r="FK155" s="376"/>
      <c r="FL155" s="376"/>
      <c r="FM155" s="376"/>
      <c r="FN155" s="376"/>
      <c r="FO155" s="376"/>
      <c r="FP155" s="376"/>
      <c r="FQ155" s="376"/>
      <c r="FR155" s="376"/>
      <c r="FS155" s="376"/>
      <c r="FT155" s="376"/>
      <c r="FU155" s="376"/>
      <c r="FV155" s="376"/>
      <c r="FW155" s="376"/>
      <c r="FX155" s="376"/>
      <c r="FY155" s="376"/>
      <c r="FZ155" s="376"/>
      <c r="GA155" s="376"/>
      <c r="GB155" s="376"/>
      <c r="GC155" s="376"/>
      <c r="GD155" s="376"/>
      <c r="GE155" s="376"/>
      <c r="GF155" s="376"/>
      <c r="GG155" s="376"/>
      <c r="GH155" s="376"/>
      <c r="GI155" s="376"/>
      <c r="GJ155" s="376"/>
      <c r="GK155" s="376"/>
      <c r="GL155" s="376"/>
      <c r="GM155" s="376"/>
      <c r="GN155" s="376"/>
      <c r="GO155" s="376"/>
      <c r="GP155" s="376"/>
      <c r="GQ155" s="376"/>
      <c r="GR155" s="376"/>
      <c r="GS155" s="376"/>
      <c r="GT155" s="376"/>
      <c r="GU155" s="376"/>
      <c r="GV155" s="376"/>
      <c r="GW155" s="376"/>
      <c r="GX155" s="376"/>
      <c r="GY155" s="376"/>
      <c r="GZ155" s="376"/>
      <c r="HA155" s="376"/>
      <c r="HB155" s="376"/>
      <c r="HC155" s="376"/>
      <c r="HD155" s="376"/>
      <c r="HE155" s="376"/>
      <c r="HF155" s="376"/>
      <c r="HG155" s="376"/>
      <c r="HH155" s="376"/>
      <c r="HI155" s="376"/>
      <c r="HJ155" s="376"/>
      <c r="HK155" s="376"/>
      <c r="HL155" s="376"/>
      <c r="HM155" s="376"/>
      <c r="HN155" s="376"/>
      <c r="HO155" s="376"/>
      <c r="HP155" s="376"/>
      <c r="HQ155" s="376"/>
      <c r="HR155" s="376"/>
      <c r="HS155" s="376"/>
      <c r="HT155" s="376"/>
      <c r="HU155" s="376"/>
      <c r="HV155" s="376"/>
      <c r="HW155" s="376"/>
      <c r="HX155" s="376"/>
      <c r="HY155" s="376"/>
      <c r="HZ155" s="376"/>
      <c r="IA155" s="376"/>
      <c r="IB155" s="376"/>
      <c r="IC155" s="376"/>
      <c r="ID155" s="376"/>
      <c r="IE155" s="376"/>
      <c r="IF155" s="376"/>
      <c r="IG155" s="376"/>
      <c r="IH155" s="376"/>
      <c r="II155" s="376"/>
      <c r="IJ155" s="376"/>
      <c r="IK155" s="376"/>
      <c r="IL155" s="376"/>
      <c r="IM155" s="376"/>
      <c r="IN155" s="376"/>
      <c r="IO155" s="376"/>
      <c r="IP155" s="376"/>
      <c r="IQ155" s="376"/>
      <c r="IR155" s="376"/>
      <c r="IS155" s="376"/>
      <c r="IT155" s="376"/>
      <c r="IU155" s="376"/>
      <c r="IV155" s="376"/>
      <c r="IW155" s="376"/>
      <c r="IX155" s="376"/>
      <c r="IY155" s="376"/>
      <c r="IZ155" s="376"/>
      <c r="JA155" s="376"/>
      <c r="JB155" s="376"/>
      <c r="JC155" s="376"/>
      <c r="JD155" s="376"/>
      <c r="JE155" s="376"/>
      <c r="JF155" s="376"/>
      <c r="JG155" s="376"/>
      <c r="JH155" s="376"/>
      <c r="JI155" s="376"/>
      <c r="JJ155" s="376"/>
      <c r="JK155" s="376"/>
      <c r="JL155" s="376"/>
      <c r="JM155" s="376"/>
      <c r="JN155" s="376"/>
      <c r="JO155" s="376"/>
      <c r="JP155" s="376"/>
      <c r="JQ155" s="376"/>
      <c r="JR155" s="376"/>
      <c r="JS155" s="376"/>
      <c r="JT155" s="376"/>
      <c r="JU155" s="376"/>
      <c r="JV155" s="376"/>
      <c r="JW155" s="376"/>
      <c r="JX155" s="376"/>
      <c r="JY155" s="376"/>
      <c r="JZ155" s="376"/>
      <c r="KA155" s="376"/>
      <c r="KB155" s="376"/>
      <c r="KC155" s="376"/>
      <c r="KD155" s="376"/>
      <c r="KE155" s="376"/>
      <c r="KF155" s="376"/>
      <c r="KG155" s="376"/>
      <c r="KH155" s="376"/>
      <c r="KI155" s="376"/>
      <c r="KJ155" s="376"/>
      <c r="KK155" s="376"/>
      <c r="KL155" s="376"/>
      <c r="KM155" s="376"/>
      <c r="KN155" s="376"/>
      <c r="KO155" s="376"/>
      <c r="KP155" s="376"/>
      <c r="KQ155" s="376"/>
      <c r="KR155" s="376"/>
      <c r="KS155" s="376"/>
      <c r="KT155" s="376"/>
      <c r="KU155" s="376"/>
      <c r="KV155" s="376"/>
      <c r="KW155" s="376"/>
      <c r="KX155" s="376"/>
      <c r="KY155" s="376"/>
      <c r="KZ155" s="376"/>
      <c r="LA155" s="376"/>
      <c r="LB155" s="376"/>
      <c r="LC155" s="376"/>
      <c r="LD155" s="376"/>
      <c r="LE155" s="376"/>
      <c r="LF155" s="376"/>
      <c r="LG155" s="376"/>
      <c r="LH155" s="376"/>
      <c r="LI155" s="376"/>
      <c r="LJ155" s="376"/>
      <c r="LK155" s="376"/>
      <c r="LL155" s="376"/>
      <c r="LM155" s="376"/>
      <c r="LN155" s="376"/>
      <c r="LO155" s="376"/>
      <c r="LP155" s="376"/>
      <c r="LQ155" s="376"/>
    </row>
    <row r="156" spans="1:329" s="337" customFormat="1">
      <c r="A156" s="544">
        <f>IF(D1="Yes",SUM(COUNTIF(A34:A35,"Yes"),COUNTIF(D37,"Option 1"),A41,IF(A44="Yes",F44,0),A45,A54,A74,IF(A82="Yes",F82,0),IF(A84="Yes",F84,0),IF(A85="Yes",F85,0),COUNTIF(A112,"Yes"),COUNTIF(A125,"Yes"),A158,A159)," ")</f>
        <v>21</v>
      </c>
      <c r="B156" s="336" t="s">
        <v>473</v>
      </c>
      <c r="D156" s="514"/>
      <c r="E156" s="338"/>
      <c r="F156" s="474"/>
      <c r="G156" s="339"/>
      <c r="H156" s="340"/>
      <c r="I156" s="340"/>
      <c r="J156" s="341"/>
      <c r="K156" s="340"/>
      <c r="N156" s="274"/>
      <c r="O156" s="274"/>
      <c r="P156" s="274"/>
      <c r="Q156" s="274"/>
      <c r="R156" s="274"/>
      <c r="S156" s="274"/>
      <c r="T156" s="274"/>
      <c r="U156" s="274"/>
      <c r="V156" s="274"/>
      <c r="W156" s="274"/>
      <c r="X156" s="274"/>
      <c r="Y156" s="274"/>
      <c r="Z156" s="274"/>
      <c r="AA156" s="274"/>
      <c r="AB156" s="274"/>
      <c r="AC156" s="274"/>
      <c r="AD156" s="274"/>
      <c r="AE156" s="274"/>
      <c r="AF156" s="274"/>
      <c r="AG156" s="274"/>
      <c r="AH156" s="274"/>
      <c r="AI156" s="274"/>
      <c r="AJ156" s="274"/>
      <c r="AK156" s="274"/>
      <c r="AL156" s="274"/>
      <c r="AM156" s="274"/>
      <c r="AN156" s="274"/>
      <c r="AO156" s="274"/>
      <c r="AP156" s="274"/>
      <c r="AQ156" s="274"/>
      <c r="AR156" s="274"/>
      <c r="AS156" s="274"/>
      <c r="AT156" s="274"/>
      <c r="AU156" s="274"/>
      <c r="AV156" s="274"/>
      <c r="AW156" s="274"/>
      <c r="AX156" s="274"/>
      <c r="AY156" s="274"/>
      <c r="AZ156" s="274"/>
      <c r="BA156" s="274"/>
      <c r="BB156" s="274"/>
      <c r="BC156" s="274"/>
      <c r="BD156" s="274"/>
      <c r="BE156" s="274"/>
      <c r="BF156" s="274"/>
      <c r="BG156" s="274"/>
      <c r="BH156" s="274"/>
      <c r="BI156" s="274"/>
      <c r="BJ156" s="274"/>
      <c r="BK156" s="274"/>
      <c r="BL156" s="274"/>
      <c r="BM156" s="274"/>
      <c r="BN156" s="274"/>
      <c r="BO156" s="274"/>
      <c r="BP156" s="274"/>
      <c r="BQ156" s="274"/>
      <c r="BR156" s="274"/>
      <c r="BS156" s="274"/>
      <c r="BT156" s="274"/>
      <c r="BU156" s="274"/>
      <c r="BV156" s="274"/>
      <c r="BW156" s="274"/>
      <c r="BX156" s="274"/>
      <c r="BY156" s="274"/>
      <c r="BZ156" s="274"/>
      <c r="CA156" s="274"/>
      <c r="CB156" s="274"/>
      <c r="CC156" s="274"/>
      <c r="CD156" s="274"/>
      <c r="CE156" s="274"/>
      <c r="CF156" s="274"/>
      <c r="CG156" s="274"/>
      <c r="CH156" s="274"/>
      <c r="CI156" s="274"/>
      <c r="CJ156" s="274"/>
      <c r="CK156" s="274"/>
      <c r="CL156" s="274"/>
      <c r="CM156" s="274"/>
      <c r="CN156" s="274"/>
      <c r="CO156" s="274"/>
      <c r="CP156" s="274"/>
      <c r="CQ156" s="274"/>
      <c r="CR156" s="274"/>
      <c r="CS156" s="274"/>
      <c r="CT156" s="274"/>
      <c r="CU156" s="274"/>
      <c r="CV156" s="274"/>
      <c r="CW156" s="274"/>
      <c r="CX156" s="274"/>
      <c r="CY156" s="274"/>
      <c r="CZ156" s="274"/>
      <c r="DA156" s="274"/>
      <c r="DB156" s="274"/>
      <c r="DC156" s="274"/>
      <c r="DD156" s="274"/>
      <c r="DE156" s="274"/>
      <c r="DF156" s="274"/>
      <c r="DG156" s="274"/>
      <c r="DH156" s="274"/>
      <c r="DI156" s="274"/>
      <c r="DJ156" s="274"/>
      <c r="DK156" s="274"/>
      <c r="DL156" s="274"/>
      <c r="DM156" s="274"/>
      <c r="DN156" s="274"/>
      <c r="DO156" s="274"/>
      <c r="DP156" s="274"/>
      <c r="DQ156" s="274"/>
      <c r="DR156" s="274"/>
      <c r="DS156" s="274"/>
      <c r="DT156" s="274"/>
      <c r="DU156" s="274"/>
      <c r="DV156" s="274"/>
      <c r="DW156" s="274"/>
      <c r="DX156" s="274"/>
      <c r="DY156" s="274"/>
      <c r="DZ156" s="274"/>
      <c r="EA156" s="274"/>
      <c r="EB156" s="274"/>
      <c r="EC156" s="274"/>
      <c r="ED156" s="274"/>
      <c r="EE156" s="274"/>
      <c r="EF156" s="274"/>
      <c r="EG156" s="274"/>
      <c r="EH156" s="274"/>
      <c r="EI156" s="274"/>
      <c r="EJ156" s="274"/>
      <c r="EK156" s="274"/>
      <c r="EL156" s="274"/>
      <c r="EM156" s="274"/>
      <c r="EN156" s="274"/>
      <c r="EO156" s="274"/>
      <c r="EP156" s="274"/>
      <c r="EQ156" s="274"/>
      <c r="ER156" s="274"/>
      <c r="ES156" s="274"/>
      <c r="ET156" s="274"/>
      <c r="EU156" s="274"/>
      <c r="EV156" s="274"/>
      <c r="EW156" s="274"/>
      <c r="EX156" s="274"/>
      <c r="EY156" s="274"/>
      <c r="EZ156" s="274"/>
      <c r="FA156" s="274"/>
      <c r="FB156" s="274"/>
      <c r="FC156" s="274"/>
      <c r="FD156" s="274"/>
      <c r="FE156" s="274"/>
      <c r="FF156" s="274"/>
      <c r="FG156" s="274"/>
      <c r="FH156" s="274"/>
      <c r="FI156" s="274"/>
      <c r="FJ156" s="274"/>
      <c r="FK156" s="274"/>
      <c r="FL156" s="274"/>
      <c r="FM156" s="274"/>
      <c r="FN156" s="274"/>
      <c r="FO156" s="274"/>
      <c r="FP156" s="274"/>
      <c r="FQ156" s="274"/>
      <c r="FR156" s="274"/>
      <c r="FS156" s="274"/>
      <c r="FT156" s="274"/>
      <c r="FU156" s="274"/>
      <c r="FV156" s="274"/>
      <c r="FW156" s="274"/>
      <c r="FX156" s="274"/>
      <c r="FY156" s="274"/>
      <c r="FZ156" s="274"/>
      <c r="GA156" s="274"/>
      <c r="GB156" s="274"/>
      <c r="GC156" s="274"/>
      <c r="GD156" s="274"/>
      <c r="GE156" s="274"/>
      <c r="GF156" s="274"/>
      <c r="GG156" s="274"/>
      <c r="GH156" s="274"/>
      <c r="GI156" s="274"/>
      <c r="GJ156" s="274"/>
      <c r="GK156" s="274"/>
      <c r="GL156" s="274"/>
      <c r="GM156" s="274"/>
      <c r="GN156" s="274"/>
      <c r="GO156" s="274"/>
      <c r="GP156" s="274"/>
      <c r="GQ156" s="274"/>
      <c r="GR156" s="274"/>
      <c r="GS156" s="274"/>
      <c r="GT156" s="274"/>
      <c r="GU156" s="274"/>
      <c r="GV156" s="274"/>
      <c r="GW156" s="274"/>
      <c r="GX156" s="274"/>
      <c r="GY156" s="274"/>
      <c r="GZ156" s="274"/>
      <c r="HA156" s="274"/>
      <c r="HB156" s="274"/>
      <c r="HC156" s="274"/>
      <c r="HD156" s="274"/>
      <c r="HE156" s="274"/>
      <c r="HF156" s="274"/>
      <c r="HG156" s="274"/>
      <c r="HH156" s="274"/>
      <c r="HI156" s="274"/>
      <c r="HJ156" s="274"/>
      <c r="HK156" s="274"/>
      <c r="HL156" s="274"/>
      <c r="HM156" s="274"/>
      <c r="HN156" s="274"/>
      <c r="HO156" s="274"/>
      <c r="HP156" s="274"/>
      <c r="HQ156" s="274"/>
      <c r="HR156" s="274"/>
      <c r="HS156" s="274"/>
      <c r="HT156" s="274"/>
      <c r="HU156" s="274"/>
      <c r="HV156" s="274"/>
      <c r="HW156" s="274"/>
      <c r="HX156" s="274"/>
      <c r="HY156" s="274"/>
      <c r="HZ156" s="274"/>
      <c r="IA156" s="274"/>
      <c r="IB156" s="274"/>
      <c r="IC156" s="274"/>
      <c r="ID156" s="274"/>
      <c r="IE156" s="274"/>
      <c r="IF156" s="274"/>
      <c r="IG156" s="274"/>
      <c r="IH156" s="274"/>
      <c r="II156" s="274"/>
      <c r="IJ156" s="274"/>
      <c r="IK156" s="274"/>
      <c r="IL156" s="274"/>
      <c r="IM156" s="274"/>
      <c r="IN156" s="274"/>
      <c r="IO156" s="274"/>
      <c r="IP156" s="274"/>
      <c r="IQ156" s="274"/>
      <c r="IR156" s="274"/>
      <c r="IS156" s="274"/>
      <c r="IT156" s="274"/>
      <c r="IU156" s="274"/>
      <c r="IV156" s="274"/>
      <c r="IW156" s="274"/>
      <c r="IX156" s="274"/>
      <c r="IY156" s="274"/>
      <c r="IZ156" s="274"/>
      <c r="JA156" s="274"/>
      <c r="JB156" s="274"/>
      <c r="JC156" s="274"/>
      <c r="JD156" s="274"/>
      <c r="JE156" s="274"/>
      <c r="JF156" s="274"/>
      <c r="JG156" s="274"/>
      <c r="JH156" s="274"/>
      <c r="JI156" s="274"/>
      <c r="JJ156" s="274"/>
      <c r="JK156" s="274"/>
      <c r="JL156" s="274"/>
      <c r="JM156" s="274"/>
      <c r="JN156" s="274"/>
      <c r="JO156" s="274"/>
      <c r="JP156" s="274"/>
      <c r="JQ156" s="274"/>
      <c r="JR156" s="274"/>
      <c r="JS156" s="274"/>
      <c r="JT156" s="274"/>
      <c r="JU156" s="274"/>
      <c r="JV156" s="274"/>
      <c r="JW156" s="274"/>
      <c r="JX156" s="274"/>
      <c r="JY156" s="274"/>
      <c r="JZ156" s="274"/>
      <c r="KA156" s="274"/>
      <c r="KB156" s="274"/>
      <c r="KC156" s="274"/>
      <c r="KD156" s="274"/>
      <c r="KE156" s="274"/>
      <c r="KF156" s="274"/>
      <c r="KG156" s="274"/>
      <c r="KH156" s="274"/>
      <c r="KI156" s="274"/>
      <c r="KJ156" s="274"/>
      <c r="KK156" s="274"/>
      <c r="KL156" s="274"/>
      <c r="KM156" s="274"/>
      <c r="KN156" s="274"/>
      <c r="KO156" s="274"/>
      <c r="KP156" s="274"/>
      <c r="KQ156" s="274"/>
      <c r="KR156" s="274"/>
      <c r="KS156" s="274"/>
      <c r="KT156" s="274"/>
      <c r="KU156" s="274"/>
      <c r="KV156" s="274"/>
      <c r="KW156" s="274"/>
      <c r="KX156" s="274"/>
      <c r="KY156" s="274"/>
      <c r="KZ156" s="274"/>
      <c r="LA156" s="274"/>
      <c r="LB156" s="274"/>
      <c r="LC156" s="274"/>
      <c r="LD156" s="274"/>
      <c r="LE156" s="274"/>
      <c r="LF156" s="274"/>
      <c r="LG156" s="274"/>
      <c r="LH156" s="274"/>
      <c r="LI156" s="274"/>
      <c r="LJ156" s="274"/>
      <c r="LK156" s="274"/>
      <c r="LL156" s="274"/>
      <c r="LM156" s="274"/>
      <c r="LN156" s="274"/>
      <c r="LO156" s="274"/>
      <c r="LP156" s="274"/>
      <c r="LQ156" s="274"/>
    </row>
    <row r="157" spans="1:329" s="332" customFormat="1" hidden="1">
      <c r="A157" s="545">
        <f>SUM(COUNTIF(A34:A35,"Yes"),COUNTIF(D37,"Option 1"),A41,IF(A44="Yes",F44,0),A45,A54,A74,IF(A82="Yes",F82,0),IF(A84="Yes",F84,0),IF(A85="Yes",F85,0),COUNTIF(A112,"Yes"),COUNTIF(A125,"Yes"),A158,A159)</f>
        <v>21</v>
      </c>
      <c r="B157" s="342" t="s">
        <v>239</v>
      </c>
      <c r="D157" s="513"/>
      <c r="E157" s="333"/>
      <c r="F157" s="473"/>
      <c r="G157" s="334"/>
      <c r="H157" s="335"/>
      <c r="I157" s="335"/>
      <c r="J157" s="254" t="s">
        <v>317</v>
      </c>
      <c r="K157" s="335"/>
      <c r="N157" s="376"/>
      <c r="O157" s="376"/>
      <c r="P157" s="376"/>
      <c r="Q157" s="376"/>
      <c r="R157" s="376"/>
      <c r="S157" s="376"/>
      <c r="T157" s="376"/>
      <c r="U157" s="376"/>
      <c r="V157" s="376"/>
      <c r="W157" s="376"/>
      <c r="X157" s="376"/>
      <c r="Y157" s="376"/>
      <c r="Z157" s="376"/>
      <c r="AA157" s="376"/>
      <c r="AB157" s="376"/>
      <c r="AC157" s="376"/>
      <c r="AD157" s="376"/>
      <c r="AE157" s="376"/>
      <c r="AF157" s="376"/>
      <c r="AG157" s="376"/>
      <c r="AH157" s="376"/>
      <c r="AI157" s="376"/>
      <c r="AJ157" s="376"/>
      <c r="AK157" s="376"/>
      <c r="AL157" s="376"/>
      <c r="AM157" s="376"/>
      <c r="AN157" s="376"/>
      <c r="AO157" s="376"/>
      <c r="AP157" s="376"/>
      <c r="AQ157" s="376"/>
      <c r="AR157" s="376"/>
      <c r="AS157" s="376"/>
      <c r="AT157" s="376"/>
      <c r="AU157" s="376"/>
      <c r="AV157" s="376"/>
      <c r="AW157" s="376"/>
      <c r="AX157" s="376"/>
      <c r="AY157" s="376"/>
      <c r="AZ157" s="376"/>
      <c r="BA157" s="376"/>
      <c r="BB157" s="376"/>
      <c r="BC157" s="376"/>
      <c r="BD157" s="376"/>
      <c r="BE157" s="376"/>
      <c r="BF157" s="376"/>
      <c r="BG157" s="376"/>
      <c r="BH157" s="376"/>
      <c r="BI157" s="376"/>
      <c r="BJ157" s="376"/>
      <c r="BK157" s="376"/>
      <c r="BL157" s="376"/>
      <c r="BM157" s="376"/>
      <c r="BN157" s="376"/>
      <c r="BO157" s="376"/>
      <c r="BP157" s="376"/>
      <c r="BQ157" s="376"/>
      <c r="BR157" s="376"/>
      <c r="BS157" s="376"/>
      <c r="BT157" s="376"/>
      <c r="BU157" s="376"/>
      <c r="BV157" s="376"/>
      <c r="BW157" s="376"/>
      <c r="BX157" s="376"/>
      <c r="BY157" s="376"/>
      <c r="BZ157" s="376"/>
      <c r="CA157" s="376"/>
      <c r="CB157" s="376"/>
      <c r="CC157" s="376"/>
      <c r="CD157" s="376"/>
      <c r="CE157" s="376"/>
      <c r="CF157" s="376"/>
      <c r="CG157" s="376"/>
      <c r="CH157" s="376"/>
      <c r="CI157" s="376"/>
      <c r="CJ157" s="376"/>
      <c r="CK157" s="376"/>
      <c r="CL157" s="376"/>
      <c r="CM157" s="376"/>
      <c r="CN157" s="376"/>
      <c r="CO157" s="376"/>
      <c r="CP157" s="376"/>
      <c r="CQ157" s="376"/>
      <c r="CR157" s="376"/>
      <c r="CS157" s="376"/>
      <c r="CT157" s="376"/>
      <c r="CU157" s="376"/>
      <c r="CV157" s="376"/>
      <c r="CW157" s="376"/>
      <c r="CX157" s="376"/>
      <c r="CY157" s="376"/>
      <c r="CZ157" s="376"/>
      <c r="DA157" s="376"/>
      <c r="DB157" s="376"/>
      <c r="DC157" s="376"/>
      <c r="DD157" s="376"/>
      <c r="DE157" s="376"/>
      <c r="DF157" s="376"/>
      <c r="DG157" s="376"/>
      <c r="DH157" s="376"/>
      <c r="DI157" s="376"/>
      <c r="DJ157" s="376"/>
      <c r="DK157" s="376"/>
      <c r="DL157" s="376"/>
      <c r="DM157" s="376"/>
      <c r="DN157" s="376"/>
      <c r="DO157" s="376"/>
      <c r="DP157" s="376"/>
      <c r="DQ157" s="376"/>
      <c r="DR157" s="376"/>
      <c r="DS157" s="376"/>
      <c r="DT157" s="376"/>
      <c r="DU157" s="376"/>
      <c r="DV157" s="376"/>
      <c r="DW157" s="376"/>
      <c r="DX157" s="376"/>
      <c r="DY157" s="376"/>
      <c r="DZ157" s="376"/>
      <c r="EA157" s="376"/>
      <c r="EB157" s="376"/>
      <c r="EC157" s="376"/>
      <c r="ED157" s="376"/>
      <c r="EE157" s="376"/>
      <c r="EF157" s="376"/>
      <c r="EG157" s="376"/>
      <c r="EH157" s="376"/>
      <c r="EI157" s="376"/>
      <c r="EJ157" s="376"/>
      <c r="EK157" s="376"/>
      <c r="EL157" s="376"/>
      <c r="EM157" s="376"/>
      <c r="EN157" s="376"/>
      <c r="EO157" s="376"/>
      <c r="EP157" s="376"/>
      <c r="EQ157" s="376"/>
      <c r="ER157" s="376"/>
      <c r="ES157" s="376"/>
      <c r="ET157" s="376"/>
      <c r="EU157" s="376"/>
      <c r="EV157" s="376"/>
      <c r="EW157" s="376"/>
      <c r="EX157" s="376"/>
      <c r="EY157" s="376"/>
      <c r="EZ157" s="376"/>
      <c r="FA157" s="376"/>
      <c r="FB157" s="376"/>
      <c r="FC157" s="376"/>
      <c r="FD157" s="376"/>
      <c r="FE157" s="376"/>
      <c r="FF157" s="376"/>
      <c r="FG157" s="376"/>
      <c r="FH157" s="376"/>
      <c r="FI157" s="376"/>
      <c r="FJ157" s="376"/>
      <c r="FK157" s="376"/>
      <c r="FL157" s="376"/>
      <c r="FM157" s="376"/>
      <c r="FN157" s="376"/>
      <c r="FO157" s="376"/>
      <c r="FP157" s="376"/>
      <c r="FQ157" s="376"/>
      <c r="FR157" s="376"/>
      <c r="FS157" s="376"/>
      <c r="FT157" s="376"/>
      <c r="FU157" s="376"/>
      <c r="FV157" s="376"/>
      <c r="FW157" s="376"/>
      <c r="FX157" s="376"/>
      <c r="FY157" s="376"/>
      <c r="FZ157" s="376"/>
      <c r="GA157" s="376"/>
      <c r="GB157" s="376"/>
      <c r="GC157" s="376"/>
      <c r="GD157" s="376"/>
      <c r="GE157" s="376"/>
      <c r="GF157" s="376"/>
      <c r="GG157" s="376"/>
      <c r="GH157" s="376"/>
      <c r="GI157" s="376"/>
      <c r="GJ157" s="376"/>
      <c r="GK157" s="376"/>
      <c r="GL157" s="376"/>
      <c r="GM157" s="376"/>
      <c r="GN157" s="376"/>
      <c r="GO157" s="376"/>
      <c r="GP157" s="376"/>
      <c r="GQ157" s="376"/>
      <c r="GR157" s="376"/>
      <c r="GS157" s="376"/>
      <c r="GT157" s="376"/>
      <c r="GU157" s="376"/>
      <c r="GV157" s="376"/>
      <c r="GW157" s="376"/>
      <c r="GX157" s="376"/>
      <c r="GY157" s="376"/>
      <c r="GZ157" s="376"/>
      <c r="HA157" s="376"/>
      <c r="HB157" s="376"/>
      <c r="HC157" s="376"/>
      <c r="HD157" s="376"/>
      <c r="HE157" s="376"/>
      <c r="HF157" s="376"/>
      <c r="HG157" s="376"/>
      <c r="HH157" s="376"/>
      <c r="HI157" s="376"/>
      <c r="HJ157" s="376"/>
      <c r="HK157" s="376"/>
      <c r="HL157" s="376"/>
      <c r="HM157" s="376"/>
      <c r="HN157" s="376"/>
      <c r="HO157" s="376"/>
      <c r="HP157" s="376"/>
      <c r="HQ157" s="376"/>
      <c r="HR157" s="376"/>
      <c r="HS157" s="376"/>
      <c r="HT157" s="376"/>
      <c r="HU157" s="376"/>
      <c r="HV157" s="376"/>
      <c r="HW157" s="376"/>
      <c r="HX157" s="376"/>
      <c r="HY157" s="376"/>
      <c r="HZ157" s="376"/>
      <c r="IA157" s="376"/>
      <c r="IB157" s="376"/>
      <c r="IC157" s="376"/>
      <c r="ID157" s="376"/>
      <c r="IE157" s="376"/>
      <c r="IF157" s="376"/>
      <c r="IG157" s="376"/>
      <c r="IH157" s="376"/>
      <c r="II157" s="376"/>
      <c r="IJ157" s="376"/>
      <c r="IK157" s="376"/>
      <c r="IL157" s="376"/>
      <c r="IM157" s="376"/>
      <c r="IN157" s="376"/>
      <c r="IO157" s="376"/>
      <c r="IP157" s="376"/>
      <c r="IQ157" s="376"/>
      <c r="IR157" s="376"/>
      <c r="IS157" s="376"/>
      <c r="IT157" s="376"/>
      <c r="IU157" s="376"/>
      <c r="IV157" s="376"/>
      <c r="IW157" s="376"/>
      <c r="IX157" s="376"/>
      <c r="IY157" s="376"/>
      <c r="IZ157" s="376"/>
      <c r="JA157" s="376"/>
      <c r="JB157" s="376"/>
      <c r="JC157" s="376"/>
      <c r="JD157" s="376"/>
      <c r="JE157" s="376"/>
      <c r="JF157" s="376"/>
      <c r="JG157" s="376"/>
      <c r="JH157" s="376"/>
      <c r="JI157" s="376"/>
      <c r="JJ157" s="376"/>
      <c r="JK157" s="376"/>
      <c r="JL157" s="376"/>
      <c r="JM157" s="376"/>
      <c r="JN157" s="376"/>
      <c r="JO157" s="376"/>
      <c r="JP157" s="376"/>
      <c r="JQ157" s="376"/>
      <c r="JR157" s="376"/>
      <c r="JS157" s="376"/>
      <c r="JT157" s="376"/>
      <c r="JU157" s="376"/>
      <c r="JV157" s="376"/>
      <c r="JW157" s="376"/>
      <c r="JX157" s="376"/>
      <c r="JY157" s="376"/>
      <c r="JZ157" s="376"/>
      <c r="KA157" s="376"/>
      <c r="KB157" s="376"/>
      <c r="KC157" s="376"/>
      <c r="KD157" s="376"/>
      <c r="KE157" s="376"/>
      <c r="KF157" s="376"/>
      <c r="KG157" s="376"/>
      <c r="KH157" s="376"/>
      <c r="KI157" s="376"/>
      <c r="KJ157" s="376"/>
      <c r="KK157" s="376"/>
      <c r="KL157" s="376"/>
      <c r="KM157" s="376"/>
      <c r="KN157" s="376"/>
      <c r="KO157" s="376"/>
      <c r="KP157" s="376"/>
      <c r="KQ157" s="376"/>
      <c r="KR157" s="376"/>
      <c r="KS157" s="376"/>
      <c r="KT157" s="376"/>
      <c r="KU157" s="376"/>
      <c r="KV157" s="376"/>
      <c r="KW157" s="376"/>
      <c r="KX157" s="376"/>
      <c r="KY157" s="376"/>
      <c r="KZ157" s="376"/>
      <c r="LA157" s="376"/>
      <c r="LB157" s="376"/>
      <c r="LC157" s="376"/>
      <c r="LD157" s="376"/>
      <c r="LE157" s="376"/>
      <c r="LF157" s="376"/>
      <c r="LG157" s="376"/>
      <c r="LH157" s="376"/>
      <c r="LI157" s="376"/>
      <c r="LJ157" s="376"/>
      <c r="LK157" s="376"/>
      <c r="LL157" s="376"/>
      <c r="LM157" s="376"/>
      <c r="LN157" s="376"/>
      <c r="LO157" s="376"/>
      <c r="LP157" s="376"/>
      <c r="LQ157" s="376"/>
    </row>
    <row r="158" spans="1:329" s="332" customFormat="1" hidden="1">
      <c r="A158" s="543">
        <f>SUM(OR(COUNTIF(D130,"Energy"),COUNTIF(D130,"Water"),COUNTIF(D130,"Energy &amp; Water")),OR(COUNTIF(D132,"Energy"),COUNTIF(D132,"Water"),COUNTIF(D132,"Energy &amp; Water")),OR(COUNTIF(D134,"Energy"),COUNTIF(D134,"Water"),COUNTIF(D134,"Energy &amp; Water")),OR(COUNTIF(D136,"Energy"),COUNTIF(D136,"Water"),COUNTIF(D136,"Energy &amp; Water")),OR(COUNTIF(D138,"Energy"),COUNTIF(D138,"Water"),COUNTIF(D138,"Energy &amp; Water")))</f>
        <v>0</v>
      </c>
      <c r="B158" s="342" t="s">
        <v>461</v>
      </c>
      <c r="D158" s="513"/>
      <c r="E158" s="333"/>
      <c r="F158" s="473"/>
      <c r="G158" s="334"/>
      <c r="H158" s="335"/>
      <c r="I158" s="335"/>
      <c r="J158" s="254" t="s">
        <v>317</v>
      </c>
      <c r="K158" s="335"/>
      <c r="N158" s="376"/>
      <c r="O158" s="376"/>
      <c r="P158" s="376"/>
      <c r="Q158" s="376"/>
      <c r="R158" s="376"/>
      <c r="S158" s="376"/>
      <c r="T158" s="376"/>
      <c r="U158" s="376"/>
      <c r="V158" s="376"/>
      <c r="W158" s="376"/>
      <c r="X158" s="376"/>
      <c r="Y158" s="376"/>
      <c r="Z158" s="376"/>
      <c r="AA158" s="376"/>
      <c r="AB158" s="376"/>
      <c r="AC158" s="376"/>
      <c r="AD158" s="376"/>
      <c r="AE158" s="376"/>
      <c r="AF158" s="376"/>
      <c r="AG158" s="376"/>
      <c r="AH158" s="376"/>
      <c r="AI158" s="376"/>
      <c r="AJ158" s="376"/>
      <c r="AK158" s="376"/>
      <c r="AL158" s="376"/>
      <c r="AM158" s="376"/>
      <c r="AN158" s="376"/>
      <c r="AO158" s="376"/>
      <c r="AP158" s="376"/>
      <c r="AQ158" s="376"/>
      <c r="AR158" s="376"/>
      <c r="AS158" s="376"/>
      <c r="AT158" s="376"/>
      <c r="AU158" s="376"/>
      <c r="AV158" s="376"/>
      <c r="AW158" s="376"/>
      <c r="AX158" s="376"/>
      <c r="AY158" s="376"/>
      <c r="AZ158" s="376"/>
      <c r="BA158" s="376"/>
      <c r="BB158" s="376"/>
      <c r="BC158" s="376"/>
      <c r="BD158" s="376"/>
      <c r="BE158" s="376"/>
      <c r="BF158" s="376"/>
      <c r="BG158" s="376"/>
      <c r="BH158" s="376"/>
      <c r="BI158" s="376"/>
      <c r="BJ158" s="376"/>
      <c r="BK158" s="376"/>
      <c r="BL158" s="376"/>
      <c r="BM158" s="376"/>
      <c r="BN158" s="376"/>
      <c r="BO158" s="376"/>
      <c r="BP158" s="376"/>
      <c r="BQ158" s="376"/>
      <c r="BR158" s="376"/>
      <c r="BS158" s="376"/>
      <c r="BT158" s="376"/>
      <c r="BU158" s="376"/>
      <c r="BV158" s="376"/>
      <c r="BW158" s="376"/>
      <c r="BX158" s="376"/>
      <c r="BY158" s="376"/>
      <c r="BZ158" s="376"/>
      <c r="CA158" s="376"/>
      <c r="CB158" s="376"/>
      <c r="CC158" s="376"/>
      <c r="CD158" s="376"/>
      <c r="CE158" s="376"/>
      <c r="CF158" s="376"/>
      <c r="CG158" s="376"/>
      <c r="CH158" s="376"/>
      <c r="CI158" s="376"/>
      <c r="CJ158" s="376"/>
      <c r="CK158" s="376"/>
      <c r="CL158" s="376"/>
      <c r="CM158" s="376"/>
      <c r="CN158" s="376"/>
      <c r="CO158" s="376"/>
      <c r="CP158" s="376"/>
      <c r="CQ158" s="376"/>
      <c r="CR158" s="376"/>
      <c r="CS158" s="376"/>
      <c r="CT158" s="376"/>
      <c r="CU158" s="376"/>
      <c r="CV158" s="376"/>
      <c r="CW158" s="376"/>
      <c r="CX158" s="376"/>
      <c r="CY158" s="376"/>
      <c r="CZ158" s="376"/>
      <c r="DA158" s="376"/>
      <c r="DB158" s="376"/>
      <c r="DC158" s="376"/>
      <c r="DD158" s="376"/>
      <c r="DE158" s="376"/>
      <c r="DF158" s="376"/>
      <c r="DG158" s="376"/>
      <c r="DH158" s="376"/>
      <c r="DI158" s="376"/>
      <c r="DJ158" s="376"/>
      <c r="DK158" s="376"/>
      <c r="DL158" s="376"/>
      <c r="DM158" s="376"/>
      <c r="DN158" s="376"/>
      <c r="DO158" s="376"/>
      <c r="DP158" s="376"/>
      <c r="DQ158" s="376"/>
      <c r="DR158" s="376"/>
      <c r="DS158" s="376"/>
      <c r="DT158" s="376"/>
      <c r="DU158" s="376"/>
      <c r="DV158" s="376"/>
      <c r="DW158" s="376"/>
      <c r="DX158" s="376"/>
      <c r="DY158" s="376"/>
      <c r="DZ158" s="376"/>
      <c r="EA158" s="376"/>
      <c r="EB158" s="376"/>
      <c r="EC158" s="376"/>
      <c r="ED158" s="376"/>
      <c r="EE158" s="376"/>
      <c r="EF158" s="376"/>
      <c r="EG158" s="376"/>
      <c r="EH158" s="376"/>
      <c r="EI158" s="376"/>
      <c r="EJ158" s="376"/>
      <c r="EK158" s="376"/>
      <c r="EL158" s="376"/>
      <c r="EM158" s="376"/>
      <c r="EN158" s="376"/>
      <c r="EO158" s="376"/>
      <c r="EP158" s="376"/>
      <c r="EQ158" s="376"/>
      <c r="ER158" s="376"/>
      <c r="ES158" s="376"/>
      <c r="ET158" s="376"/>
      <c r="EU158" s="376"/>
      <c r="EV158" s="376"/>
      <c r="EW158" s="376"/>
      <c r="EX158" s="376"/>
      <c r="EY158" s="376"/>
      <c r="EZ158" s="376"/>
      <c r="FA158" s="376"/>
      <c r="FB158" s="376"/>
      <c r="FC158" s="376"/>
      <c r="FD158" s="376"/>
      <c r="FE158" s="376"/>
      <c r="FF158" s="376"/>
      <c r="FG158" s="376"/>
      <c r="FH158" s="376"/>
      <c r="FI158" s="376"/>
      <c r="FJ158" s="376"/>
      <c r="FK158" s="376"/>
      <c r="FL158" s="376"/>
      <c r="FM158" s="376"/>
      <c r="FN158" s="376"/>
      <c r="FO158" s="376"/>
      <c r="FP158" s="376"/>
      <c r="FQ158" s="376"/>
      <c r="FR158" s="376"/>
      <c r="FS158" s="376"/>
      <c r="FT158" s="376"/>
      <c r="FU158" s="376"/>
      <c r="FV158" s="376"/>
      <c r="FW158" s="376"/>
      <c r="FX158" s="376"/>
      <c r="FY158" s="376"/>
      <c r="FZ158" s="376"/>
      <c r="GA158" s="376"/>
      <c r="GB158" s="376"/>
      <c r="GC158" s="376"/>
      <c r="GD158" s="376"/>
      <c r="GE158" s="376"/>
      <c r="GF158" s="376"/>
      <c r="GG158" s="376"/>
      <c r="GH158" s="376"/>
      <c r="GI158" s="376"/>
      <c r="GJ158" s="376"/>
      <c r="GK158" s="376"/>
      <c r="GL158" s="376"/>
      <c r="GM158" s="376"/>
      <c r="GN158" s="376"/>
      <c r="GO158" s="376"/>
      <c r="GP158" s="376"/>
      <c r="GQ158" s="376"/>
      <c r="GR158" s="376"/>
      <c r="GS158" s="376"/>
      <c r="GT158" s="376"/>
      <c r="GU158" s="376"/>
      <c r="GV158" s="376"/>
      <c r="GW158" s="376"/>
      <c r="GX158" s="376"/>
      <c r="GY158" s="376"/>
      <c r="GZ158" s="376"/>
      <c r="HA158" s="376"/>
      <c r="HB158" s="376"/>
      <c r="HC158" s="376"/>
      <c r="HD158" s="376"/>
      <c r="HE158" s="376"/>
      <c r="HF158" s="376"/>
      <c r="HG158" s="376"/>
      <c r="HH158" s="376"/>
      <c r="HI158" s="376"/>
      <c r="HJ158" s="376"/>
      <c r="HK158" s="376"/>
      <c r="HL158" s="376"/>
      <c r="HM158" s="376"/>
      <c r="HN158" s="376"/>
      <c r="HO158" s="376"/>
      <c r="HP158" s="376"/>
      <c r="HQ158" s="376"/>
      <c r="HR158" s="376"/>
      <c r="HS158" s="376"/>
      <c r="HT158" s="376"/>
      <c r="HU158" s="376"/>
      <c r="HV158" s="376"/>
      <c r="HW158" s="376"/>
      <c r="HX158" s="376"/>
      <c r="HY158" s="376"/>
      <c r="HZ158" s="376"/>
      <c r="IA158" s="376"/>
      <c r="IB158" s="376"/>
      <c r="IC158" s="376"/>
      <c r="ID158" s="376"/>
      <c r="IE158" s="376"/>
      <c r="IF158" s="376"/>
      <c r="IG158" s="376"/>
      <c r="IH158" s="376"/>
      <c r="II158" s="376"/>
      <c r="IJ158" s="376"/>
      <c r="IK158" s="376"/>
      <c r="IL158" s="376"/>
      <c r="IM158" s="376"/>
      <c r="IN158" s="376"/>
      <c r="IO158" s="376"/>
      <c r="IP158" s="376"/>
      <c r="IQ158" s="376"/>
      <c r="IR158" s="376"/>
      <c r="IS158" s="376"/>
      <c r="IT158" s="376"/>
      <c r="IU158" s="376"/>
      <c r="IV158" s="376"/>
      <c r="IW158" s="376"/>
      <c r="IX158" s="376"/>
      <c r="IY158" s="376"/>
      <c r="IZ158" s="376"/>
      <c r="JA158" s="376"/>
      <c r="JB158" s="376"/>
      <c r="JC158" s="376"/>
      <c r="JD158" s="376"/>
      <c r="JE158" s="376"/>
      <c r="JF158" s="376"/>
      <c r="JG158" s="376"/>
      <c r="JH158" s="376"/>
      <c r="JI158" s="376"/>
      <c r="JJ158" s="376"/>
      <c r="JK158" s="376"/>
      <c r="JL158" s="376"/>
      <c r="JM158" s="376"/>
      <c r="JN158" s="376"/>
      <c r="JO158" s="376"/>
      <c r="JP158" s="376"/>
      <c r="JQ158" s="376"/>
      <c r="JR158" s="376"/>
      <c r="JS158" s="376"/>
      <c r="JT158" s="376"/>
      <c r="JU158" s="376"/>
      <c r="JV158" s="376"/>
      <c r="JW158" s="376"/>
      <c r="JX158" s="376"/>
      <c r="JY158" s="376"/>
      <c r="JZ158" s="376"/>
      <c r="KA158" s="376"/>
      <c r="KB158" s="376"/>
      <c r="KC158" s="376"/>
      <c r="KD158" s="376"/>
      <c r="KE158" s="376"/>
      <c r="KF158" s="376"/>
      <c r="KG158" s="376"/>
      <c r="KH158" s="376"/>
      <c r="KI158" s="376"/>
      <c r="KJ158" s="376"/>
      <c r="KK158" s="376"/>
      <c r="KL158" s="376"/>
      <c r="KM158" s="376"/>
      <c r="KN158" s="376"/>
      <c r="KO158" s="376"/>
      <c r="KP158" s="376"/>
      <c r="KQ158" s="376"/>
      <c r="KR158" s="376"/>
      <c r="KS158" s="376"/>
      <c r="KT158" s="376"/>
      <c r="KU158" s="376"/>
      <c r="KV158" s="376"/>
      <c r="KW158" s="376"/>
      <c r="KX158" s="376"/>
      <c r="KY158" s="376"/>
      <c r="KZ158" s="376"/>
      <c r="LA158" s="376"/>
      <c r="LB158" s="376"/>
      <c r="LC158" s="376"/>
      <c r="LD158" s="376"/>
      <c r="LE158" s="376"/>
      <c r="LF158" s="376"/>
      <c r="LG158" s="376"/>
      <c r="LH158" s="376"/>
      <c r="LI158" s="376"/>
      <c r="LJ158" s="376"/>
      <c r="LK158" s="376"/>
      <c r="LL158" s="376"/>
      <c r="LM158" s="376"/>
      <c r="LN158" s="376"/>
      <c r="LO158" s="376"/>
      <c r="LP158" s="376"/>
      <c r="LQ158" s="376"/>
    </row>
    <row r="159" spans="1:329" s="332" customFormat="1" hidden="1">
      <c r="A159" s="543">
        <f>SUM(OR(COUNTIF(D143,"Energy"),COUNTIF(D143,"Water"),COUNTIF(D143,"Energy &amp; Water")),OR(COUNTIF(D145,"Energy"),COUNTIF(D145,"Water"),COUNTIF(D145,"Energy &amp; Water")),OR(COUNTIF(D147,"Energy"),COUNTIF(D147,"Water"),COUNTIF(D147,"Energy &amp; Water")),OR(COUNTIF(D149,"Energy"),COUNTIF(D149,"Water"),COUNTIF(D149,"Energy &amp; Water")))</f>
        <v>0</v>
      </c>
      <c r="B159" s="342" t="s">
        <v>462</v>
      </c>
      <c r="D159" s="513"/>
      <c r="E159" s="333"/>
      <c r="F159" s="473"/>
      <c r="G159" s="334"/>
      <c r="H159" s="335"/>
      <c r="I159" s="335"/>
      <c r="J159" s="254" t="s">
        <v>317</v>
      </c>
      <c r="K159" s="335"/>
      <c r="N159" s="376"/>
      <c r="O159" s="376"/>
      <c r="P159" s="376"/>
      <c r="Q159" s="376"/>
      <c r="R159" s="376"/>
      <c r="S159" s="376"/>
      <c r="T159" s="376"/>
      <c r="U159" s="376"/>
      <c r="V159" s="376"/>
      <c r="W159" s="376"/>
      <c r="X159" s="376"/>
      <c r="Y159" s="376"/>
      <c r="Z159" s="376"/>
      <c r="AA159" s="376"/>
      <c r="AB159" s="376"/>
      <c r="AC159" s="376"/>
      <c r="AD159" s="376"/>
      <c r="AE159" s="376"/>
      <c r="AF159" s="376"/>
      <c r="AG159" s="376"/>
      <c r="AH159" s="376"/>
      <c r="AI159" s="376"/>
      <c r="AJ159" s="376"/>
      <c r="AK159" s="376"/>
      <c r="AL159" s="376"/>
      <c r="AM159" s="376"/>
      <c r="AN159" s="376"/>
      <c r="AO159" s="376"/>
      <c r="AP159" s="376"/>
      <c r="AQ159" s="376"/>
      <c r="AR159" s="376"/>
      <c r="AS159" s="376"/>
      <c r="AT159" s="376"/>
      <c r="AU159" s="376"/>
      <c r="AV159" s="376"/>
      <c r="AW159" s="376"/>
      <c r="AX159" s="376"/>
      <c r="AY159" s="376"/>
      <c r="AZ159" s="376"/>
      <c r="BA159" s="376"/>
      <c r="BB159" s="376"/>
      <c r="BC159" s="376"/>
      <c r="BD159" s="376"/>
      <c r="BE159" s="376"/>
      <c r="BF159" s="376"/>
      <c r="BG159" s="376"/>
      <c r="BH159" s="376"/>
      <c r="BI159" s="376"/>
      <c r="BJ159" s="376"/>
      <c r="BK159" s="376"/>
      <c r="BL159" s="376"/>
      <c r="BM159" s="376"/>
      <c r="BN159" s="376"/>
      <c r="BO159" s="376"/>
      <c r="BP159" s="376"/>
      <c r="BQ159" s="376"/>
      <c r="BR159" s="376"/>
      <c r="BS159" s="376"/>
      <c r="BT159" s="376"/>
      <c r="BU159" s="376"/>
      <c r="BV159" s="376"/>
      <c r="BW159" s="376"/>
      <c r="BX159" s="376"/>
      <c r="BY159" s="376"/>
      <c r="BZ159" s="376"/>
      <c r="CA159" s="376"/>
      <c r="CB159" s="376"/>
      <c r="CC159" s="376"/>
      <c r="CD159" s="376"/>
      <c r="CE159" s="376"/>
      <c r="CF159" s="376"/>
      <c r="CG159" s="376"/>
      <c r="CH159" s="376"/>
      <c r="CI159" s="376"/>
      <c r="CJ159" s="376"/>
      <c r="CK159" s="376"/>
      <c r="CL159" s="376"/>
      <c r="CM159" s="376"/>
      <c r="CN159" s="376"/>
      <c r="CO159" s="376"/>
      <c r="CP159" s="376"/>
      <c r="CQ159" s="376"/>
      <c r="CR159" s="376"/>
      <c r="CS159" s="376"/>
      <c r="CT159" s="376"/>
      <c r="CU159" s="376"/>
      <c r="CV159" s="376"/>
      <c r="CW159" s="376"/>
      <c r="CX159" s="376"/>
      <c r="CY159" s="376"/>
      <c r="CZ159" s="376"/>
      <c r="DA159" s="376"/>
      <c r="DB159" s="376"/>
      <c r="DC159" s="376"/>
      <c r="DD159" s="376"/>
      <c r="DE159" s="376"/>
      <c r="DF159" s="376"/>
      <c r="DG159" s="376"/>
      <c r="DH159" s="376"/>
      <c r="DI159" s="376"/>
      <c r="DJ159" s="376"/>
      <c r="DK159" s="376"/>
      <c r="DL159" s="376"/>
      <c r="DM159" s="376"/>
      <c r="DN159" s="376"/>
      <c r="DO159" s="376"/>
      <c r="DP159" s="376"/>
      <c r="DQ159" s="376"/>
      <c r="DR159" s="376"/>
      <c r="DS159" s="376"/>
      <c r="DT159" s="376"/>
      <c r="DU159" s="376"/>
      <c r="DV159" s="376"/>
      <c r="DW159" s="376"/>
      <c r="DX159" s="376"/>
      <c r="DY159" s="376"/>
      <c r="DZ159" s="376"/>
      <c r="EA159" s="376"/>
      <c r="EB159" s="376"/>
      <c r="EC159" s="376"/>
      <c r="ED159" s="376"/>
      <c r="EE159" s="376"/>
      <c r="EF159" s="376"/>
      <c r="EG159" s="376"/>
      <c r="EH159" s="376"/>
      <c r="EI159" s="376"/>
      <c r="EJ159" s="376"/>
      <c r="EK159" s="376"/>
      <c r="EL159" s="376"/>
      <c r="EM159" s="376"/>
      <c r="EN159" s="376"/>
      <c r="EO159" s="376"/>
      <c r="EP159" s="376"/>
      <c r="EQ159" s="376"/>
      <c r="ER159" s="376"/>
      <c r="ES159" s="376"/>
      <c r="ET159" s="376"/>
      <c r="EU159" s="376"/>
      <c r="EV159" s="376"/>
      <c r="EW159" s="376"/>
      <c r="EX159" s="376"/>
      <c r="EY159" s="376"/>
      <c r="EZ159" s="376"/>
      <c r="FA159" s="376"/>
      <c r="FB159" s="376"/>
      <c r="FC159" s="376"/>
      <c r="FD159" s="376"/>
      <c r="FE159" s="376"/>
      <c r="FF159" s="376"/>
      <c r="FG159" s="376"/>
      <c r="FH159" s="376"/>
      <c r="FI159" s="376"/>
      <c r="FJ159" s="376"/>
      <c r="FK159" s="376"/>
      <c r="FL159" s="376"/>
      <c r="FM159" s="376"/>
      <c r="FN159" s="376"/>
      <c r="FO159" s="376"/>
      <c r="FP159" s="376"/>
      <c r="FQ159" s="376"/>
      <c r="FR159" s="376"/>
      <c r="FS159" s="376"/>
      <c r="FT159" s="376"/>
      <c r="FU159" s="376"/>
      <c r="FV159" s="376"/>
      <c r="FW159" s="376"/>
      <c r="FX159" s="376"/>
      <c r="FY159" s="376"/>
      <c r="FZ159" s="376"/>
      <c r="GA159" s="376"/>
      <c r="GB159" s="376"/>
      <c r="GC159" s="376"/>
      <c r="GD159" s="376"/>
      <c r="GE159" s="376"/>
      <c r="GF159" s="376"/>
      <c r="GG159" s="376"/>
      <c r="GH159" s="376"/>
      <c r="GI159" s="376"/>
      <c r="GJ159" s="376"/>
      <c r="GK159" s="376"/>
      <c r="GL159" s="376"/>
      <c r="GM159" s="376"/>
      <c r="GN159" s="376"/>
      <c r="GO159" s="376"/>
      <c r="GP159" s="376"/>
      <c r="GQ159" s="376"/>
      <c r="GR159" s="376"/>
      <c r="GS159" s="376"/>
      <c r="GT159" s="376"/>
      <c r="GU159" s="376"/>
      <c r="GV159" s="376"/>
      <c r="GW159" s="376"/>
      <c r="GX159" s="376"/>
      <c r="GY159" s="376"/>
      <c r="GZ159" s="376"/>
      <c r="HA159" s="376"/>
      <c r="HB159" s="376"/>
      <c r="HC159" s="376"/>
      <c r="HD159" s="376"/>
      <c r="HE159" s="376"/>
      <c r="HF159" s="376"/>
      <c r="HG159" s="376"/>
      <c r="HH159" s="376"/>
      <c r="HI159" s="376"/>
      <c r="HJ159" s="376"/>
      <c r="HK159" s="376"/>
      <c r="HL159" s="376"/>
      <c r="HM159" s="376"/>
      <c r="HN159" s="376"/>
      <c r="HO159" s="376"/>
      <c r="HP159" s="376"/>
      <c r="HQ159" s="376"/>
      <c r="HR159" s="376"/>
      <c r="HS159" s="376"/>
      <c r="HT159" s="376"/>
      <c r="HU159" s="376"/>
      <c r="HV159" s="376"/>
      <c r="HW159" s="376"/>
      <c r="HX159" s="376"/>
      <c r="HY159" s="376"/>
      <c r="HZ159" s="376"/>
      <c r="IA159" s="376"/>
      <c r="IB159" s="376"/>
      <c r="IC159" s="376"/>
      <c r="ID159" s="376"/>
      <c r="IE159" s="376"/>
      <c r="IF159" s="376"/>
      <c r="IG159" s="376"/>
      <c r="IH159" s="376"/>
      <c r="II159" s="376"/>
      <c r="IJ159" s="376"/>
      <c r="IK159" s="376"/>
      <c r="IL159" s="376"/>
      <c r="IM159" s="376"/>
      <c r="IN159" s="376"/>
      <c r="IO159" s="376"/>
      <c r="IP159" s="376"/>
      <c r="IQ159" s="376"/>
      <c r="IR159" s="376"/>
      <c r="IS159" s="376"/>
      <c r="IT159" s="376"/>
      <c r="IU159" s="376"/>
      <c r="IV159" s="376"/>
      <c r="IW159" s="376"/>
      <c r="IX159" s="376"/>
      <c r="IY159" s="376"/>
      <c r="IZ159" s="376"/>
      <c r="JA159" s="376"/>
      <c r="JB159" s="376"/>
      <c r="JC159" s="376"/>
      <c r="JD159" s="376"/>
      <c r="JE159" s="376"/>
      <c r="JF159" s="376"/>
      <c r="JG159" s="376"/>
      <c r="JH159" s="376"/>
      <c r="JI159" s="376"/>
      <c r="JJ159" s="376"/>
      <c r="JK159" s="376"/>
      <c r="JL159" s="376"/>
      <c r="JM159" s="376"/>
      <c r="JN159" s="376"/>
      <c r="JO159" s="376"/>
      <c r="JP159" s="376"/>
      <c r="JQ159" s="376"/>
      <c r="JR159" s="376"/>
      <c r="JS159" s="376"/>
      <c r="JT159" s="376"/>
      <c r="JU159" s="376"/>
      <c r="JV159" s="376"/>
      <c r="JW159" s="376"/>
      <c r="JX159" s="376"/>
      <c r="JY159" s="376"/>
      <c r="JZ159" s="376"/>
      <c r="KA159" s="376"/>
      <c r="KB159" s="376"/>
      <c r="KC159" s="376"/>
      <c r="KD159" s="376"/>
      <c r="KE159" s="376"/>
      <c r="KF159" s="376"/>
      <c r="KG159" s="376"/>
      <c r="KH159" s="376"/>
      <c r="KI159" s="376"/>
      <c r="KJ159" s="376"/>
      <c r="KK159" s="376"/>
      <c r="KL159" s="376"/>
      <c r="KM159" s="376"/>
      <c r="KN159" s="376"/>
      <c r="KO159" s="376"/>
      <c r="KP159" s="376"/>
      <c r="KQ159" s="376"/>
      <c r="KR159" s="376"/>
      <c r="KS159" s="376"/>
      <c r="KT159" s="376"/>
      <c r="KU159" s="376"/>
      <c r="KV159" s="376"/>
      <c r="KW159" s="376"/>
      <c r="KX159" s="376"/>
      <c r="KY159" s="376"/>
      <c r="KZ159" s="376"/>
      <c r="LA159" s="376"/>
      <c r="LB159" s="376"/>
      <c r="LC159" s="376"/>
      <c r="LD159" s="376"/>
      <c r="LE159" s="376"/>
      <c r="LF159" s="376"/>
      <c r="LG159" s="376"/>
      <c r="LH159" s="376"/>
      <c r="LI159" s="376"/>
      <c r="LJ159" s="376"/>
      <c r="LK159" s="376"/>
      <c r="LL159" s="376"/>
      <c r="LM159" s="376"/>
      <c r="LN159" s="376"/>
      <c r="LO159" s="376"/>
      <c r="LP159" s="376"/>
      <c r="LQ159" s="376"/>
    </row>
    <row r="160" spans="1:329" ht="13.8" thickBot="1">
      <c r="A160" s="546" t="s">
        <v>464</v>
      </c>
      <c r="B160" s="343"/>
      <c r="C160" s="344"/>
      <c r="D160" s="515"/>
      <c r="E160" s="344"/>
      <c r="F160" s="475"/>
    </row>
  </sheetData>
  <sheetProtection sheet="1" objects="1" scenarios="1" insertHyperlinks="0"/>
  <mergeCells count="39">
    <mergeCell ref="A16:F16"/>
    <mergeCell ref="D23:E23"/>
    <mergeCell ref="D24:E24"/>
    <mergeCell ref="A11:B11"/>
    <mergeCell ref="D82:E82"/>
    <mergeCell ref="D26:E26"/>
    <mergeCell ref="D27:E27"/>
    <mergeCell ref="D28:E28"/>
    <mergeCell ref="D29:E29"/>
    <mergeCell ref="D30:E30"/>
    <mergeCell ref="D31:E31"/>
    <mergeCell ref="D32:E32"/>
    <mergeCell ref="D33:E33"/>
    <mergeCell ref="D40:E40"/>
    <mergeCell ref="D44:E44"/>
    <mergeCell ref="D51:E51"/>
    <mergeCell ref="D116:E116"/>
    <mergeCell ref="D83:E83"/>
    <mergeCell ref="D84:E84"/>
    <mergeCell ref="D85:E85"/>
    <mergeCell ref="D93:E93"/>
    <mergeCell ref="D100:E100"/>
    <mergeCell ref="D106:E106"/>
    <mergeCell ref="D123:E123"/>
    <mergeCell ref="D124:E124"/>
    <mergeCell ref="D125:E125"/>
    <mergeCell ref="D126:E126"/>
    <mergeCell ref="A10:C10"/>
    <mergeCell ref="D117:E117"/>
    <mergeCell ref="D118:E118"/>
    <mergeCell ref="D119:E119"/>
    <mergeCell ref="D120:E120"/>
    <mergeCell ref="D121:E121"/>
    <mergeCell ref="D122:E122"/>
    <mergeCell ref="D107:E107"/>
    <mergeCell ref="D112:E112"/>
    <mergeCell ref="D113:E113"/>
    <mergeCell ref="D114:E114"/>
    <mergeCell ref="D115:E115"/>
  </mergeCells>
  <conditionalFormatting sqref="A6:B6">
    <cfRule type="expression" dxfId="12" priority="39" stopIfTrue="1">
      <formula>IF(#REF!="Final Design",TRUE,FALSE)</formula>
    </cfRule>
    <cfRule type="expression" dxfId="11" priority="40" stopIfTrue="1">
      <formula>IF(#REF!="Programming/Customer Concept Document",TRUE,FALSE)</formula>
    </cfRule>
    <cfRule type="expression" dxfId="10" priority="41" stopIfTrue="1">
      <formula>IF(#REF!="Design Charette",TRUE,FALSE)</formula>
    </cfRule>
  </conditionalFormatting>
  <conditionalFormatting sqref="A139 A112:A126 A148 A106:A107 A129 A131 A133 A135 A137 A142 A144 A146 A93 A82:A85 A23:A36 A44 D10">
    <cfRule type="cellIs" dxfId="9" priority="36" stopIfTrue="1" operator="equal">
      <formula>"Yes"</formula>
    </cfRule>
    <cfRule type="cellIs" dxfId="8" priority="37" stopIfTrue="1" operator="equal">
      <formula>"No"</formula>
    </cfRule>
    <cfRule type="cellIs" dxfId="7" priority="38" stopIfTrue="1" operator="equal">
      <formula>"Maybe"</formula>
    </cfRule>
  </conditionalFormatting>
  <conditionalFormatting sqref="A110:A111 A51:A53 A88 A22 A40 A13:C13">
    <cfRule type="cellIs" dxfId="6" priority="29" stopIfTrue="1" operator="equal">
      <formula>"Yes"</formula>
    </cfRule>
    <cfRule type="cellIs" dxfId="5" priority="30" stopIfTrue="1" operator="equal">
      <formula>"No"</formula>
    </cfRule>
    <cfRule type="cellIs" dxfId="4" priority="31" stopIfTrue="1" operator="equal">
      <formula>"Maybe"</formula>
    </cfRule>
  </conditionalFormatting>
  <conditionalFormatting sqref="D130 D136 D138 D143 D145 D147 D149 D132 D134">
    <cfRule type="expression" dxfId="3" priority="28">
      <formula>IF(OR(D130="Energy",D130="Water",D130="Energy &amp; Water"),TRUE,FALSE)</formula>
    </cfRule>
  </conditionalFormatting>
  <conditionalFormatting sqref="D132 D136 D138 D143 D145 D147 D149 D134">
    <cfRule type="expression" dxfId="2" priority="27">
      <formula>IF(OR(D132="Energy",D132="Water",D132="Energy &amp; Water"),TRUE,FALSE)</formula>
    </cfRule>
  </conditionalFormatting>
  <conditionalFormatting sqref="D37">
    <cfRule type="expression" dxfId="1" priority="11">
      <formula>IF(D37="Option 1",TRUE,FALSE)</formula>
    </cfRule>
  </conditionalFormatting>
  <conditionalFormatting sqref="A11 A12:B12">
    <cfRule type="expression" dxfId="0" priority="6" stopIfTrue="1">
      <formula>"IF(iserror(D8))"</formula>
    </cfRule>
  </conditionalFormatting>
  <dataValidations count="15">
    <dataValidation type="list" allowBlank="1" showInputMessage="1" showErrorMessage="1" sqref="A41">
      <formula1>"0,2,4"</formula1>
    </dataValidation>
    <dataValidation type="list" allowBlank="1" showInputMessage="1" showErrorMessage="1" sqref="D37">
      <formula1>"Option 1,Option 2"</formula1>
    </dataValidation>
    <dataValidation type="list" allowBlank="1" showInputMessage="1" showErrorMessage="1" promptTitle="Attention" prompt="In the yellow box to the right: Select which Interior Lighting Option was used to achieve this credit.  Option 1 is included in the project's energy and water total credits." sqref="A36">
      <formula1>"Yes,Maybe,No"</formula1>
    </dataValidation>
    <dataValidation type="list" allowBlank="1" showInputMessage="1" showErrorMessage="1" sqref="A45">
      <formula1>"0,2,3,4"</formula1>
    </dataValidation>
    <dataValidation type="list" allowBlank="1" showInputMessage="1" showErrorMessage="1" sqref="A74">
      <formula1>"0,1,2,3,4,5,6,7"</formula1>
    </dataValidation>
    <dataValidation type="list" allowBlank="1" showInputMessage="1" showErrorMessage="1" sqref="A54">
      <formula1>"0,1,2,3,4,5,6,7,8,9,10,11,12,13,14,15,16,17,18,19"</formula1>
    </dataValidation>
    <dataValidation type="list" allowBlank="1" showInputMessage="1" showErrorMessage="1" sqref="A89">
      <formula1>"0,1,2,3"</formula1>
    </dataValidation>
    <dataValidation type="list" allowBlank="1" showInputMessage="1" showErrorMessage="1" sqref="D130 D149 D143 D138 D136 D134 D132 D147 D145">
      <formula1>"Energy,Water,Energy &amp; Water"</formula1>
    </dataValidation>
    <dataValidation type="list" allowBlank="1" showInputMessage="1" showErrorMessage="1" sqref="A97 A103 A100 A94">
      <formula1>"0,1,2"</formula1>
    </dataValidation>
    <dataValidation type="list" allowBlank="1" showInputMessage="1" showErrorMessage="1" sqref="A110:A126 A51:A53 A93 A44 A22:A35 A40 A82:A85 A88 A146 A144 A142 A137 A135 A133 A131 A129 A139 A148 A106:A107">
      <formula1>"Yes,Maybe,No"</formula1>
    </dataValidation>
    <dataValidation allowBlank="1" showInputMessage="1" showErrorMessage="1" errorTitle="Numbers only" error="Insert percentage as a decimal" sqref="E10"/>
    <dataValidation allowBlank="1" showInputMessage="1" showErrorMessage="1" promptTitle="Attention" prompt="The DoD Infrastructure Sustainability Policy and AF Sustainable Design and Development Memorandum require a minimum of 20 energy and water credits for all projects seeking LEED certification." sqref="D7"/>
    <dataValidation type="date" allowBlank="1" showInputMessage="1" showErrorMessage="1" errorTitle="Date format" error="Use date format: MM/DD/YY" sqref="D2">
      <formula1>1</formula1>
      <formula2>401768</formula2>
    </dataValidation>
    <dataValidation type="list" allowBlank="1" showInputMessage="1" showErrorMessage="1" sqref="D1">
      <formula1>"Yes, No"</formula1>
    </dataValidation>
    <dataValidation type="whole" allowBlank="1" showInputMessage="1" showErrorMessage="1" errorTitle="Check Project Phase and Value" error="This cell cannot be completed unless the project phase is Beneficial Occupancy. Only whole numbers can be inserted." promptTitle="Notice!" prompt="Only enter data on GBCI certification if project is in Beneficial Occupancy phase" sqref="D6">
      <formula1>IF(#REF!="Beneficial Occupancy",0,FALSE)</formula1>
      <formula2>IF(#REF!="Beneficial Occupancy",200,FALSE)</formula2>
    </dataValidation>
  </dataValidations>
  <pageMargins left="0.36" right="0.36" top="0.46" bottom="0.44" header="0.36" footer="0.32"/>
  <pageSetup fitToHeight="6" orientation="landscape" r:id="rId1"/>
  <headerFooter alignWithMargins="0">
    <oddFooter>&amp;L&amp;D&amp;C&amp;P</oddFooter>
  </headerFooter>
  <drawing r:id="rId2"/>
</worksheet>
</file>

<file path=xl/worksheets/sheet6.xml><?xml version="1.0" encoding="utf-8"?>
<worksheet xmlns="http://schemas.openxmlformats.org/spreadsheetml/2006/main" xmlns:r="http://schemas.openxmlformats.org/officeDocument/2006/relationships">
  <sheetPr codeName="Sheet5"/>
  <dimension ref="A1:H140"/>
  <sheetViews>
    <sheetView topLeftCell="A71" zoomScaleNormal="100" workbookViewId="0">
      <selection activeCell="A71" sqref="A71"/>
    </sheetView>
  </sheetViews>
  <sheetFormatPr defaultColWidth="9.109375" defaultRowHeight="13.2"/>
  <cols>
    <col min="1" max="1" width="26.44140625" style="102" customWidth="1"/>
    <col min="2" max="2" width="69" style="561" customWidth="1"/>
    <col min="3" max="3" width="29" style="103" customWidth="1"/>
    <col min="4" max="4" width="4" style="71" customWidth="1"/>
    <col min="5" max="5" width="30.33203125" style="71" customWidth="1"/>
    <col min="6" max="6" width="13.33203125" style="564" customWidth="1"/>
    <col min="7" max="8" width="13.33203125" style="567" customWidth="1"/>
    <col min="9" max="16384" width="9.109375" style="71"/>
  </cols>
  <sheetData>
    <row r="1" spans="1:8" s="56" customFormat="1" ht="18">
      <c r="A1" s="826" t="s">
        <v>113</v>
      </c>
      <c r="B1" s="827"/>
      <c r="C1" s="55" t="s">
        <v>114</v>
      </c>
      <c r="E1" s="52" t="s">
        <v>221</v>
      </c>
      <c r="F1" s="562" t="s">
        <v>91</v>
      </c>
      <c r="G1" s="565" t="s">
        <v>92</v>
      </c>
      <c r="H1" s="565" t="s">
        <v>110</v>
      </c>
    </row>
    <row r="2" spans="1:8" s="59" customFormat="1" ht="27.75" customHeight="1">
      <c r="A2" s="57"/>
      <c r="B2" s="547" t="s">
        <v>115</v>
      </c>
      <c r="C2" s="58" t="s">
        <v>116</v>
      </c>
      <c r="E2" s="53" t="s">
        <v>93</v>
      </c>
      <c r="F2" s="563" t="s">
        <v>94</v>
      </c>
      <c r="G2" s="566">
        <v>139000</v>
      </c>
      <c r="H2" s="566">
        <v>139</v>
      </c>
    </row>
    <row r="3" spans="1:8" s="59" customFormat="1" ht="52.8">
      <c r="A3" s="60"/>
      <c r="B3" s="548" t="s">
        <v>117</v>
      </c>
      <c r="C3" s="61" t="s">
        <v>118</v>
      </c>
      <c r="E3" s="53" t="s">
        <v>95</v>
      </c>
      <c r="F3" s="563" t="s">
        <v>94</v>
      </c>
      <c r="G3" s="566">
        <v>150000</v>
      </c>
      <c r="H3" s="566">
        <v>150</v>
      </c>
    </row>
    <row r="4" spans="1:8" s="56" customFormat="1" ht="77.25" customHeight="1">
      <c r="A4" s="62" t="s">
        <v>119</v>
      </c>
      <c r="B4" s="549" t="s">
        <v>120</v>
      </c>
      <c r="C4" s="63"/>
      <c r="E4" s="53" t="s">
        <v>96</v>
      </c>
      <c r="F4" s="563" t="s">
        <v>97</v>
      </c>
      <c r="G4" s="566">
        <v>15200000</v>
      </c>
      <c r="H4" s="566">
        <v>15200</v>
      </c>
    </row>
    <row r="5" spans="1:8" s="56" customFormat="1" ht="66">
      <c r="A5" s="64"/>
      <c r="B5" s="550" t="s">
        <v>121</v>
      </c>
      <c r="C5" s="65"/>
      <c r="E5" s="53" t="s">
        <v>98</v>
      </c>
      <c r="F5" s="563" t="s">
        <v>97</v>
      </c>
      <c r="G5" s="566">
        <v>22000000</v>
      </c>
      <c r="H5" s="566">
        <v>22000</v>
      </c>
    </row>
    <row r="6" spans="1:8" s="56" customFormat="1" ht="14.4">
      <c r="A6" s="64"/>
      <c r="B6" s="551" t="s">
        <v>122</v>
      </c>
      <c r="C6" s="66"/>
      <c r="E6" s="53" t="s">
        <v>99</v>
      </c>
      <c r="F6" s="563" t="s">
        <v>97</v>
      </c>
      <c r="G6" s="566">
        <v>28600000</v>
      </c>
      <c r="H6" s="566">
        <v>28600</v>
      </c>
    </row>
    <row r="7" spans="1:8" s="56" customFormat="1" ht="118.8">
      <c r="A7" s="67"/>
      <c r="B7" s="552" t="s">
        <v>474</v>
      </c>
      <c r="C7" s="68"/>
      <c r="E7" s="53" t="s">
        <v>100</v>
      </c>
      <c r="F7" s="563" t="s">
        <v>97</v>
      </c>
      <c r="G7" s="566">
        <v>13800000</v>
      </c>
      <c r="H7" s="566">
        <v>13800</v>
      </c>
    </row>
    <row r="8" spans="1:8" ht="14.4">
      <c r="A8" s="69"/>
      <c r="B8" s="553" t="s">
        <v>123</v>
      </c>
      <c r="C8" s="70"/>
      <c r="E8" s="53" t="s">
        <v>101</v>
      </c>
      <c r="F8" s="563" t="s">
        <v>90</v>
      </c>
      <c r="G8" s="566">
        <v>1000</v>
      </c>
      <c r="H8" s="566">
        <v>1</v>
      </c>
    </row>
    <row r="9" spans="1:8" ht="132">
      <c r="A9" s="72" t="str">
        <f>HYPERLINK("#"&amp;"HPSBI.1","HPSB I.1: Integrated Design")</f>
        <v>HPSB I.1: Integrated Design</v>
      </c>
      <c r="B9" s="547" t="s">
        <v>124</v>
      </c>
      <c r="C9" s="73" t="s">
        <v>125</v>
      </c>
      <c r="E9" s="53" t="s">
        <v>101</v>
      </c>
      <c r="F9" s="563" t="s">
        <v>102</v>
      </c>
      <c r="G9" s="566">
        <v>1000000</v>
      </c>
      <c r="H9" s="566">
        <v>1000</v>
      </c>
    </row>
    <row r="10" spans="1:8" ht="24">
      <c r="A10" s="74" t="s">
        <v>126</v>
      </c>
      <c r="B10" s="548" t="s">
        <v>127</v>
      </c>
      <c r="C10" s="76"/>
      <c r="E10" s="53" t="s">
        <v>103</v>
      </c>
      <c r="F10" s="563" t="s">
        <v>104</v>
      </c>
      <c r="G10" s="566">
        <v>3412</v>
      </c>
      <c r="H10" s="566">
        <v>3.4119999999999999</v>
      </c>
    </row>
    <row r="11" spans="1:8" ht="24">
      <c r="A11" s="77" t="s">
        <v>128</v>
      </c>
      <c r="B11" s="548" t="s">
        <v>129</v>
      </c>
      <c r="C11" s="78"/>
      <c r="E11" s="53" t="s">
        <v>105</v>
      </c>
      <c r="F11" s="563" t="s">
        <v>106</v>
      </c>
      <c r="G11" s="566">
        <v>1000000</v>
      </c>
      <c r="H11" s="566">
        <v>1000</v>
      </c>
    </row>
    <row r="12" spans="1:8" ht="24" customHeight="1">
      <c r="A12" s="79" t="s">
        <v>130</v>
      </c>
      <c r="B12" s="548" t="s">
        <v>129</v>
      </c>
      <c r="C12" s="78"/>
      <c r="E12" s="53" t="s">
        <v>107</v>
      </c>
      <c r="F12" s="563" t="s">
        <v>108</v>
      </c>
      <c r="G12" s="566">
        <v>1034</v>
      </c>
      <c r="H12" s="566">
        <v>1.034</v>
      </c>
    </row>
    <row r="13" spans="1:8" ht="92.4">
      <c r="A13" s="72" t="str">
        <f>HYPERLINK("#"&amp;"HPSBI.2","HPSB I.2: Commissioning")</f>
        <v>HPSB I.2: Commissioning</v>
      </c>
      <c r="B13" s="554" t="s">
        <v>131</v>
      </c>
      <c r="C13" s="80" t="s">
        <v>125</v>
      </c>
      <c r="E13" s="53" t="s">
        <v>109</v>
      </c>
      <c r="F13" s="563" t="s">
        <v>94</v>
      </c>
      <c r="G13" s="566">
        <v>91600</v>
      </c>
      <c r="H13" s="566">
        <v>92</v>
      </c>
    </row>
    <row r="14" spans="1:8" ht="24">
      <c r="A14" s="74" t="s">
        <v>126</v>
      </c>
      <c r="B14" s="548" t="s">
        <v>127</v>
      </c>
      <c r="C14" s="76"/>
      <c r="E14" s="53" t="s">
        <v>109</v>
      </c>
      <c r="F14" s="563" t="s">
        <v>90</v>
      </c>
      <c r="G14" s="566">
        <v>21698</v>
      </c>
      <c r="H14" s="566">
        <v>22</v>
      </c>
    </row>
    <row r="15" spans="1:8" ht="39.6">
      <c r="A15" s="81" t="str">
        <f>HYPERLINK("#"&amp;"EAPR1","LEED Credit(s) aligns closely with HPSB:")</f>
        <v>LEED Credit(s) aligns closely with HPSB:</v>
      </c>
      <c r="B15" s="548" t="s">
        <v>132</v>
      </c>
      <c r="C15" s="61" t="s">
        <v>118</v>
      </c>
    </row>
    <row r="16" spans="1:8" ht="24" customHeight="1">
      <c r="A16" s="82" t="s">
        <v>130</v>
      </c>
      <c r="B16" s="555" t="s">
        <v>129</v>
      </c>
      <c r="C16" s="83"/>
    </row>
    <row r="17" spans="1:3">
      <c r="A17" s="69"/>
      <c r="B17" s="553" t="s">
        <v>133</v>
      </c>
      <c r="C17" s="70"/>
    </row>
    <row r="18" spans="1:3" ht="288.75" customHeight="1">
      <c r="A18" s="72" t="str">
        <f>HYPERLINK("#"&amp;"HPSBII.1","HPSB II.1: Energy Efficiency.")</f>
        <v>HPSB II.1: Energy Efficiency.</v>
      </c>
      <c r="B18" s="554" t="s">
        <v>134</v>
      </c>
      <c r="C18" s="73" t="s">
        <v>125</v>
      </c>
    </row>
    <row r="19" spans="1:3" ht="24.75" customHeight="1">
      <c r="A19" s="74" t="s">
        <v>126</v>
      </c>
      <c r="B19" s="548" t="s">
        <v>135</v>
      </c>
      <c r="C19" s="84" t="s">
        <v>136</v>
      </c>
    </row>
    <row r="20" spans="1:3" ht="26.4">
      <c r="A20" s="81" t="str">
        <f>HYPERLINK("#"&amp;"EAPR2","LEED Credit(s) aligns closely with HPSB:")</f>
        <v>LEED Credit(s) aligns closely with HPSB:</v>
      </c>
      <c r="B20" s="548" t="s">
        <v>137</v>
      </c>
      <c r="C20" s="61" t="s">
        <v>118</v>
      </c>
    </row>
    <row r="21" spans="1:3" ht="24" customHeight="1">
      <c r="A21" s="82" t="s">
        <v>130</v>
      </c>
      <c r="B21" s="555" t="s">
        <v>129</v>
      </c>
      <c r="C21" s="83"/>
    </row>
    <row r="22" spans="1:3" ht="52.8">
      <c r="A22" s="72" t="str">
        <f>HYPERLINK("#"&amp;"HPSBII.2","HPSB II.2: Preferential use of ENERGY STAR or FEMP-designated equipment, when lifecycle cost effective")</f>
        <v>HPSB II.2: Preferential use of ENERGY STAR or FEMP-designated equipment, when lifecycle cost effective</v>
      </c>
      <c r="B22" s="547" t="s">
        <v>138</v>
      </c>
      <c r="C22" s="73" t="s">
        <v>125</v>
      </c>
    </row>
    <row r="23" spans="1:3" ht="24">
      <c r="A23" s="74" t="s">
        <v>139</v>
      </c>
      <c r="B23" s="548" t="s">
        <v>127</v>
      </c>
      <c r="C23" s="85"/>
    </row>
    <row r="24" spans="1:3" ht="24">
      <c r="A24" s="77" t="s">
        <v>128</v>
      </c>
      <c r="B24" s="548" t="s">
        <v>129</v>
      </c>
      <c r="C24" s="76"/>
    </row>
    <row r="25" spans="1:3" ht="24" customHeight="1">
      <c r="A25" s="82" t="s">
        <v>130</v>
      </c>
      <c r="B25" s="555" t="s">
        <v>129</v>
      </c>
      <c r="C25" s="83"/>
    </row>
    <row r="26" spans="1:3" ht="39.6">
      <c r="A26" s="72" t="str">
        <f>HYPERLINK("#"&amp;"HPSBII.3","HPSB II.3: On-site Renewable Energy - Solar Hot Water Heater System")</f>
        <v>HPSB II.3: On-site Renewable Energy - Solar Hot Water Heater System</v>
      </c>
      <c r="B26" s="547" t="s">
        <v>140</v>
      </c>
      <c r="C26" s="73" t="s">
        <v>125</v>
      </c>
    </row>
    <row r="27" spans="1:3" ht="26.4">
      <c r="A27" s="74" t="s">
        <v>139</v>
      </c>
      <c r="B27" s="548" t="s">
        <v>141</v>
      </c>
      <c r="C27" s="85" t="s">
        <v>142</v>
      </c>
    </row>
    <row r="28" spans="1:3" ht="24.75" customHeight="1">
      <c r="A28" s="81" t="str">
        <f>HYPERLINK("#"&amp;"EA2.1","LEED Credit(s) aligns closely with HPSB:")</f>
        <v>LEED Credit(s) aligns closely with HPSB:</v>
      </c>
      <c r="B28" s="548" t="s">
        <v>143</v>
      </c>
      <c r="C28" s="61" t="s">
        <v>118</v>
      </c>
    </row>
    <row r="29" spans="1:3" ht="24" customHeight="1">
      <c r="A29" s="79" t="s">
        <v>130</v>
      </c>
      <c r="B29" s="555" t="s">
        <v>129</v>
      </c>
      <c r="C29" s="83"/>
    </row>
    <row r="30" spans="1:3" ht="52.8">
      <c r="A30" s="72" t="str">
        <f>HYPERLINK("#"&amp;"HPSBII.4","HPSB II.4: On-site Renewable Energy")</f>
        <v>HPSB II.4: On-site Renewable Energy</v>
      </c>
      <c r="B30" s="547" t="s">
        <v>144</v>
      </c>
      <c r="C30" s="73" t="s">
        <v>125</v>
      </c>
    </row>
    <row r="31" spans="1:3" ht="24">
      <c r="A31" s="74" t="s">
        <v>139</v>
      </c>
      <c r="B31" s="548" t="s">
        <v>127</v>
      </c>
      <c r="C31" s="76"/>
    </row>
    <row r="32" spans="1:3" ht="24">
      <c r="A32" s="81" t="str">
        <f>HYPERLINK("#"&amp;"EA2.1","LEED Credit(s) aligns closely with HPSB:")</f>
        <v>LEED Credit(s) aligns closely with HPSB:</v>
      </c>
      <c r="B32" s="548" t="s">
        <v>143</v>
      </c>
      <c r="C32" s="61" t="s">
        <v>118</v>
      </c>
    </row>
    <row r="33" spans="1:3">
      <c r="A33" s="79" t="s">
        <v>130</v>
      </c>
      <c r="B33" s="548" t="s">
        <v>129</v>
      </c>
      <c r="C33" s="85"/>
    </row>
    <row r="34" spans="1:3" ht="79.2">
      <c r="A34" s="72" t="str">
        <f>HYPERLINK("#"&amp;"HPSBII.5","HPSB II.5: Measurement and Verification - Advanced Metering")</f>
        <v>HPSB II.5: Measurement and Verification - Advanced Metering</v>
      </c>
      <c r="B34" s="547" t="s">
        <v>145</v>
      </c>
      <c r="C34" s="73" t="s">
        <v>125</v>
      </c>
    </row>
    <row r="35" spans="1:3" ht="26.4">
      <c r="A35" s="74" t="s">
        <v>139</v>
      </c>
      <c r="B35" s="548" t="s">
        <v>146</v>
      </c>
      <c r="C35" s="85" t="s">
        <v>147</v>
      </c>
    </row>
    <row r="36" spans="1:3" ht="24">
      <c r="A36" s="81" t="str">
        <f>HYPERLINK("#"&amp;"EA5.1","LEED Credit(s) aligns closely with HPSB:")</f>
        <v>LEED Credit(s) aligns closely with HPSB:</v>
      </c>
      <c r="B36" s="548" t="s">
        <v>148</v>
      </c>
      <c r="C36" s="61" t="s">
        <v>118</v>
      </c>
    </row>
    <row r="37" spans="1:3" ht="24" customHeight="1">
      <c r="A37" s="82" t="s">
        <v>130</v>
      </c>
      <c r="B37" s="556" t="s">
        <v>129</v>
      </c>
      <c r="C37" s="83"/>
    </row>
    <row r="38" spans="1:3" ht="52.8">
      <c r="A38" s="86" t="str">
        <f>HYPERLINK("#"&amp;"HPSBII.6","HPSB II.6: Project Case Study Entered in High Performance Federal Buildings Database")</f>
        <v>HPSB II.6: Project Case Study Entered in High Performance Federal Buildings Database</v>
      </c>
      <c r="B38" s="557" t="s">
        <v>149</v>
      </c>
      <c r="C38" s="63" t="s">
        <v>150</v>
      </c>
    </row>
    <row r="39" spans="1:3" ht="24">
      <c r="A39" s="74" t="s">
        <v>139</v>
      </c>
      <c r="B39" s="548" t="s">
        <v>127</v>
      </c>
      <c r="C39" s="63" t="s">
        <v>151</v>
      </c>
    </row>
    <row r="40" spans="1:3" ht="24">
      <c r="A40" s="77" t="s">
        <v>128</v>
      </c>
      <c r="B40" s="557" t="s">
        <v>129</v>
      </c>
      <c r="C40" s="63"/>
    </row>
    <row r="41" spans="1:3" ht="24" customHeight="1">
      <c r="A41" s="79" t="s">
        <v>130</v>
      </c>
      <c r="B41" s="555" t="s">
        <v>129</v>
      </c>
      <c r="C41" s="87"/>
    </row>
    <row r="42" spans="1:3" ht="79.2">
      <c r="A42" s="88" t="str">
        <f>HYPERLINK("#"&amp;"EISA2007II.7","EISA 2007 II.7: Reduction in fossil fuel-generated energy consumption")</f>
        <v>EISA 2007 II.7: Reduction in fossil fuel-generated energy consumption</v>
      </c>
      <c r="B42" s="554" t="s">
        <v>152</v>
      </c>
      <c r="C42" s="63" t="s">
        <v>142</v>
      </c>
    </row>
    <row r="43" spans="1:3" ht="24">
      <c r="A43" s="74" t="s">
        <v>139</v>
      </c>
      <c r="B43" s="548" t="s">
        <v>153</v>
      </c>
      <c r="C43" s="89"/>
    </row>
    <row r="44" spans="1:3" ht="24">
      <c r="A44" s="77" t="s">
        <v>128</v>
      </c>
      <c r="B44" s="548" t="s">
        <v>129</v>
      </c>
      <c r="C44" s="89"/>
    </row>
    <row r="45" spans="1:3" ht="24" customHeight="1">
      <c r="A45" s="79" t="s">
        <v>130</v>
      </c>
      <c r="B45" s="556" t="s">
        <v>129</v>
      </c>
      <c r="C45" s="87"/>
    </row>
    <row r="46" spans="1:3" ht="52.8">
      <c r="A46" s="88" t="str">
        <f>HYPERLINK("#"&amp;"EISA2007II.8","EISA 2007 II.8: Data Center Energy Consumption")</f>
        <v>EISA 2007 II.8: Data Center Energy Consumption</v>
      </c>
      <c r="B46" s="554" t="s">
        <v>154</v>
      </c>
      <c r="C46" s="80" t="s">
        <v>142</v>
      </c>
    </row>
    <row r="47" spans="1:3" ht="24">
      <c r="A47" s="74" t="s">
        <v>139</v>
      </c>
      <c r="B47" s="548" t="s">
        <v>155</v>
      </c>
      <c r="C47" s="89"/>
    </row>
    <row r="48" spans="1:3" ht="24">
      <c r="A48" s="77" t="s">
        <v>128</v>
      </c>
      <c r="B48" s="557" t="s">
        <v>129</v>
      </c>
      <c r="C48" s="89"/>
    </row>
    <row r="49" spans="1:3" ht="24" customHeight="1">
      <c r="A49" s="82" t="s">
        <v>130</v>
      </c>
      <c r="B49" s="556" t="s">
        <v>129</v>
      </c>
      <c r="C49" s="87"/>
    </row>
    <row r="50" spans="1:3">
      <c r="A50" s="69"/>
      <c r="B50" s="553" t="s">
        <v>156</v>
      </c>
      <c r="C50" s="70"/>
    </row>
    <row r="51" spans="1:3" ht="105.6">
      <c r="A51" s="72" t="str">
        <f>HYPERLINK("#"&amp;"HPSBIII.1","HPSB III.1: Indoor Water - 20% Reduction")</f>
        <v>HPSB III.1: Indoor Water - 20% Reduction</v>
      </c>
      <c r="B51" s="554" t="s">
        <v>157</v>
      </c>
      <c r="C51" s="80" t="s">
        <v>125</v>
      </c>
    </row>
    <row r="52" spans="1:3" ht="23.25" customHeight="1">
      <c r="A52" s="74" t="s">
        <v>139</v>
      </c>
      <c r="B52" s="548" t="s">
        <v>158</v>
      </c>
      <c r="C52" s="84" t="s">
        <v>159</v>
      </c>
    </row>
    <row r="53" spans="1:3" ht="23.25" customHeight="1">
      <c r="A53" s="81" t="str">
        <f>HYPERLINK("#"&amp;"WE3.1","LEED Credit(s) aligns closely with HPSB:")</f>
        <v>LEED Credit(s) aligns closely with HPSB:</v>
      </c>
      <c r="B53" s="548" t="s">
        <v>160</v>
      </c>
      <c r="C53" s="76"/>
    </row>
    <row r="54" spans="1:3" ht="24.75" customHeight="1">
      <c r="A54" s="90" t="str">
        <f>HYPERLINK("#"&amp;"WEPR1","LEED Credit(s) meet HPSB:")</f>
        <v>LEED Credit(s) meet HPSB:</v>
      </c>
      <c r="B54" s="555" t="s">
        <v>161</v>
      </c>
      <c r="C54" s="91" t="s">
        <v>118</v>
      </c>
    </row>
    <row r="55" spans="1:3" ht="66">
      <c r="A55" s="72" t="str">
        <f>HYPERLINK("#"&amp;"HPSBIII.2","HPSB III.2: Outdoor Water - Reduce Potable Water Use by 50%")</f>
        <v>HPSB III.2: Outdoor Water - Reduce Potable Water Use by 50%</v>
      </c>
      <c r="B55" s="547" t="s">
        <v>162</v>
      </c>
      <c r="C55" s="80" t="s">
        <v>125</v>
      </c>
    </row>
    <row r="56" spans="1:3" ht="24">
      <c r="A56" s="74" t="s">
        <v>139</v>
      </c>
      <c r="B56" s="548" t="s">
        <v>127</v>
      </c>
      <c r="C56" s="63"/>
    </row>
    <row r="57" spans="1:3" ht="23.25" customHeight="1">
      <c r="A57" s="81" t="str">
        <f>HYPERLINK("#"&amp;"WE1.2","LEED Credit(s) aligns closely with HPSB:")</f>
        <v>LEED Credit(s) aligns closely with HPSB:</v>
      </c>
      <c r="B57" s="548" t="s">
        <v>163</v>
      </c>
      <c r="C57" s="76"/>
    </row>
    <row r="58" spans="1:3" ht="23.25" customHeight="1">
      <c r="A58" s="92" t="str">
        <f>HYPERLINK("#"&amp;"WE1.1","LEED Credit(s) meet HPSB:")</f>
        <v>LEED Credit(s) meet HPSB:</v>
      </c>
      <c r="B58" s="548" t="s">
        <v>164</v>
      </c>
      <c r="C58" s="61" t="s">
        <v>118</v>
      </c>
    </row>
    <row r="59" spans="1:3" ht="26.4">
      <c r="A59" s="72" t="str">
        <f>HYPERLINK("#"&amp;"HPSBIII.3","HPSB III.3: Outdoor Water - Stormwater runoff")</f>
        <v>HPSB III.3: Outdoor Water - Stormwater runoff</v>
      </c>
      <c r="B59" s="547" t="s">
        <v>165</v>
      </c>
      <c r="C59" s="80" t="s">
        <v>125</v>
      </c>
    </row>
    <row r="60" spans="1:3" ht="27.75" customHeight="1">
      <c r="A60" s="74" t="s">
        <v>139</v>
      </c>
      <c r="B60" s="548" t="s">
        <v>166</v>
      </c>
      <c r="C60" s="63" t="s">
        <v>167</v>
      </c>
    </row>
    <row r="61" spans="1:3" ht="24">
      <c r="A61" s="77" t="s">
        <v>128</v>
      </c>
      <c r="B61" s="558" t="s">
        <v>129</v>
      </c>
      <c r="C61" s="93"/>
    </row>
    <row r="62" spans="1:3" ht="23.25" customHeight="1">
      <c r="A62" s="90" t="str">
        <f>HYPERLINK("#"&amp;"SSPR1","LEED Credit(s) meet HPSB:")</f>
        <v>LEED Credit(s) meet HPSB:</v>
      </c>
      <c r="B62" s="555" t="s">
        <v>168</v>
      </c>
      <c r="C62" s="91" t="s">
        <v>118</v>
      </c>
    </row>
    <row r="63" spans="1:3" ht="66">
      <c r="A63" s="94" t="str">
        <f>HYPERLINK("#"&amp;"HPSBIII.4","HPSB III.4: Outdoor Water - Achieve Pre-Development Hydrology when technically feasible, when disturbance &gt; 5,000 GSF")</f>
        <v>HPSB III.4: Outdoor Water - Achieve Pre-Development Hydrology when technically feasible, when disturbance &gt; 5,000 GSF</v>
      </c>
      <c r="B63" s="548" t="s">
        <v>169</v>
      </c>
      <c r="C63" s="63" t="s">
        <v>125</v>
      </c>
    </row>
    <row r="64" spans="1:3" ht="26.4">
      <c r="A64" s="74" t="s">
        <v>139</v>
      </c>
      <c r="B64" s="548" t="s">
        <v>170</v>
      </c>
      <c r="C64" s="63" t="s">
        <v>171</v>
      </c>
    </row>
    <row r="65" spans="1:3" ht="26.4">
      <c r="A65" s="81" t="str">
        <f>HYPERLINK("#"&amp;"SS6.2","LEED Credit(s) aligns closely with HPSB:")</f>
        <v>LEED Credit(s) aligns closely with HPSB:</v>
      </c>
      <c r="B65" s="558" t="s">
        <v>172</v>
      </c>
      <c r="C65" s="61" t="s">
        <v>118</v>
      </c>
    </row>
    <row r="66" spans="1:3" ht="24" customHeight="1">
      <c r="A66" s="95" t="s">
        <v>130</v>
      </c>
      <c r="B66" s="555"/>
      <c r="C66" s="91"/>
    </row>
    <row r="67" spans="1:3" ht="39.6">
      <c r="A67" s="94" t="str">
        <f>HYPERLINK("#"&amp;"HPSBIII.5","HPSB III.5: Process water - potable water use")</f>
        <v>HPSB III.5: Process water - potable water use</v>
      </c>
      <c r="B67" s="548" t="s">
        <v>173</v>
      </c>
      <c r="C67" s="63" t="s">
        <v>125</v>
      </c>
    </row>
    <row r="68" spans="1:3" ht="26.4">
      <c r="A68" s="74" t="s">
        <v>139</v>
      </c>
      <c r="B68" s="548" t="s">
        <v>174</v>
      </c>
      <c r="C68" s="63" t="s">
        <v>147</v>
      </c>
    </row>
    <row r="69" spans="1:3" ht="24">
      <c r="A69" s="77" t="s">
        <v>128</v>
      </c>
      <c r="B69" s="548" t="s">
        <v>129</v>
      </c>
      <c r="C69" s="76"/>
    </row>
    <row r="70" spans="1:3" ht="22.5" customHeight="1">
      <c r="A70" s="82" t="s">
        <v>130</v>
      </c>
      <c r="B70" s="556" t="s">
        <v>129</v>
      </c>
      <c r="C70" s="83"/>
    </row>
    <row r="71" spans="1:3" ht="26.4">
      <c r="A71" s="72" t="str">
        <f>HYPERLINK("#"&amp;"HPSBIII.6","HPSB III.6: Water-Efficient Products")</f>
        <v>HPSB III.6: Water-Efficient Products</v>
      </c>
      <c r="B71" s="547" t="s">
        <v>175</v>
      </c>
      <c r="C71" s="80" t="s">
        <v>125</v>
      </c>
    </row>
    <row r="72" spans="1:3" ht="24">
      <c r="A72" s="74" t="s">
        <v>139</v>
      </c>
      <c r="B72" s="548" t="s">
        <v>127</v>
      </c>
      <c r="C72" s="63"/>
    </row>
    <row r="73" spans="1:3" ht="24">
      <c r="A73" s="77" t="s">
        <v>128</v>
      </c>
      <c r="B73" s="548" t="s">
        <v>129</v>
      </c>
      <c r="C73" s="63"/>
    </row>
    <row r="74" spans="1:3">
      <c r="A74" s="82" t="s">
        <v>130</v>
      </c>
      <c r="B74" s="555" t="s">
        <v>129</v>
      </c>
      <c r="C74" s="87"/>
    </row>
    <row r="75" spans="1:3" ht="39.6">
      <c r="A75" s="72" t="str">
        <f>HYPERLINK("#"&amp;"HPSBIII.7","HPSB III.7: Water Efficient Products - Irrigation Contractors")</f>
        <v>HPSB III.7: Water Efficient Products - Irrigation Contractors</v>
      </c>
      <c r="B75" s="547" t="s">
        <v>176</v>
      </c>
      <c r="C75" s="80" t="s">
        <v>125</v>
      </c>
    </row>
    <row r="76" spans="1:3" ht="24">
      <c r="A76" s="74" t="s">
        <v>139</v>
      </c>
      <c r="B76" s="548" t="s">
        <v>127</v>
      </c>
      <c r="C76" s="63"/>
    </row>
    <row r="77" spans="1:3" ht="24">
      <c r="A77" s="77" t="s">
        <v>128</v>
      </c>
      <c r="B77" s="548" t="s">
        <v>129</v>
      </c>
      <c r="C77" s="63"/>
    </row>
    <row r="78" spans="1:3" ht="24" customHeight="1">
      <c r="A78" s="82" t="s">
        <v>130</v>
      </c>
      <c r="B78" s="555" t="s">
        <v>129</v>
      </c>
      <c r="C78" s="87"/>
    </row>
    <row r="79" spans="1:3">
      <c r="A79" s="69"/>
      <c r="B79" s="553" t="s">
        <v>177</v>
      </c>
      <c r="C79" s="70"/>
    </row>
    <row r="80" spans="1:3" ht="39.6">
      <c r="A80" s="72" t="str">
        <f>HYPERLINK("#"&amp;"HPSBIV.1","HPSB IV.1: Thermal Comfort, ASHRAE 55-2004")</f>
        <v>HPSB IV.1: Thermal Comfort, ASHRAE 55-2004</v>
      </c>
      <c r="B80" s="547" t="s">
        <v>178</v>
      </c>
      <c r="C80" s="80" t="s">
        <v>125</v>
      </c>
    </row>
    <row r="81" spans="1:3" ht="24.75" customHeight="1">
      <c r="A81" s="74" t="s">
        <v>139</v>
      </c>
      <c r="B81" s="548" t="s">
        <v>127</v>
      </c>
      <c r="C81" s="63"/>
    </row>
    <row r="82" spans="1:3" ht="24">
      <c r="A82" s="77" t="s">
        <v>128</v>
      </c>
      <c r="B82" s="548" t="s">
        <v>129</v>
      </c>
      <c r="C82" s="76"/>
    </row>
    <row r="83" spans="1:3" ht="24.75" customHeight="1">
      <c r="A83" s="90" t="str">
        <f>HYPERLINK("#"&amp;"EQ7.1","LEED Credit(s) meet HPSB:")</f>
        <v>LEED Credit(s) meet HPSB:</v>
      </c>
      <c r="B83" s="559" t="s">
        <v>179</v>
      </c>
      <c r="C83" s="91" t="s">
        <v>118</v>
      </c>
    </row>
    <row r="84" spans="1:3" ht="26.4">
      <c r="A84" s="72" t="str">
        <f>HYPERLINK("#"&amp;"HPSBIV.2","HPSB IV.2: Ventilation: ASHRAE 62.1-2007")</f>
        <v>HPSB IV.2: Ventilation: ASHRAE 62.1-2007</v>
      </c>
      <c r="B84" s="547" t="s">
        <v>180</v>
      </c>
      <c r="C84" s="80" t="s">
        <v>125</v>
      </c>
    </row>
    <row r="85" spans="1:3" ht="24">
      <c r="A85" s="74" t="s">
        <v>139</v>
      </c>
      <c r="B85" s="548" t="s">
        <v>127</v>
      </c>
      <c r="C85" s="63"/>
    </row>
    <row r="86" spans="1:3" ht="24">
      <c r="A86" s="77" t="s">
        <v>128</v>
      </c>
      <c r="B86" s="548" t="s">
        <v>129</v>
      </c>
      <c r="C86" s="76"/>
    </row>
    <row r="87" spans="1:3" ht="23.25" customHeight="1">
      <c r="A87" s="90" t="str">
        <f>HYPERLINK("#"&amp;"EQPR1","LEED Credit(s) meet HPSB:")</f>
        <v>LEED Credit(s) meet HPSB:</v>
      </c>
      <c r="B87" s="559" t="s">
        <v>181</v>
      </c>
      <c r="C87" s="91" t="s">
        <v>118</v>
      </c>
    </row>
    <row r="88" spans="1:3" ht="39.6">
      <c r="A88" s="72" t="str">
        <f>HYPERLINK("#"&amp;"HPSBIV.3","HPSB IV.3: Moisture Control")</f>
        <v>HPSB IV.3: Moisture Control</v>
      </c>
      <c r="B88" s="547" t="s">
        <v>182</v>
      </c>
      <c r="C88" s="80" t="s">
        <v>125</v>
      </c>
    </row>
    <row r="89" spans="1:3" ht="39.6">
      <c r="A89" s="74" t="s">
        <v>139</v>
      </c>
      <c r="B89" s="548" t="s">
        <v>183</v>
      </c>
      <c r="C89" s="85" t="s">
        <v>184</v>
      </c>
    </row>
    <row r="90" spans="1:3" ht="24">
      <c r="A90" s="77" t="s">
        <v>128</v>
      </c>
      <c r="B90" s="548" t="s">
        <v>129</v>
      </c>
      <c r="C90" s="96"/>
    </row>
    <row r="91" spans="1:3" ht="24" customHeight="1">
      <c r="A91" s="79" t="s">
        <v>130</v>
      </c>
      <c r="B91" s="548" t="s">
        <v>129</v>
      </c>
      <c r="C91" s="76"/>
    </row>
    <row r="92" spans="1:3" ht="26.4">
      <c r="A92" s="72" t="str">
        <f>HYPERLINK("#"&amp;"HPSBIV.4","HPSB IV.4: Daylighting - 75% of Spaces")</f>
        <v>HPSB IV.4: Daylighting - 75% of Spaces</v>
      </c>
      <c r="B92" s="547" t="s">
        <v>185</v>
      </c>
      <c r="C92" s="80" t="s">
        <v>125</v>
      </c>
    </row>
    <row r="93" spans="1:3" ht="24">
      <c r="A93" s="74" t="s">
        <v>139</v>
      </c>
      <c r="B93" s="548" t="s">
        <v>127</v>
      </c>
      <c r="C93" s="76"/>
    </row>
    <row r="94" spans="1:3" ht="24">
      <c r="A94" s="81" t="str">
        <f>HYPERLINK("#"&amp;"EQ8.1","LEED Credit(s) aligns closely with HPSB:")</f>
        <v>LEED Credit(s) aligns closely with HPSB:</v>
      </c>
      <c r="B94" s="548" t="s">
        <v>186</v>
      </c>
      <c r="C94" s="61" t="s">
        <v>118</v>
      </c>
    </row>
    <row r="95" spans="1:3" ht="22.5" customHeight="1">
      <c r="A95" s="95" t="s">
        <v>130</v>
      </c>
      <c r="B95" s="559" t="s">
        <v>129</v>
      </c>
      <c r="C95" s="91"/>
    </row>
    <row r="96" spans="1:3" ht="26.4">
      <c r="A96" s="94" t="str">
        <f>HYPERLINK("#"&amp;"HPSBIV.5","HPSB IV.5: Daylighting - Controllability of Systems")</f>
        <v>HPSB IV.5: Daylighting - Controllability of Systems</v>
      </c>
      <c r="B96" s="548" t="s">
        <v>187</v>
      </c>
      <c r="C96" s="63" t="s">
        <v>125</v>
      </c>
    </row>
    <row r="97" spans="1:3" ht="24.75" customHeight="1">
      <c r="A97" s="74" t="s">
        <v>139</v>
      </c>
      <c r="B97" s="548" t="s">
        <v>127</v>
      </c>
      <c r="C97" s="63"/>
    </row>
    <row r="98" spans="1:3" ht="24">
      <c r="A98" s="81" t="str">
        <f>HYPERLINK("#"&amp;"EQ6.1","LEED Credit(s) aligns closely with HPSB:")</f>
        <v>LEED Credit(s) aligns closely with HPSB:</v>
      </c>
      <c r="B98" s="557" t="s">
        <v>188</v>
      </c>
      <c r="C98" s="61" t="s">
        <v>118</v>
      </c>
    </row>
    <row r="99" spans="1:3" ht="24" customHeight="1">
      <c r="A99" s="82" t="s">
        <v>130</v>
      </c>
      <c r="B99" s="556" t="s">
        <v>129</v>
      </c>
      <c r="C99" s="97"/>
    </row>
    <row r="100" spans="1:3" ht="39.6">
      <c r="A100" s="94" t="str">
        <f>HYPERLINK("#"&amp;"HPSBIV.6","HPSB IV.6: Low Emitting Materials")</f>
        <v>HPSB IV.6: Low Emitting Materials</v>
      </c>
      <c r="B100" s="548" t="s">
        <v>189</v>
      </c>
      <c r="C100" s="63" t="s">
        <v>125</v>
      </c>
    </row>
    <row r="101" spans="1:3" ht="24">
      <c r="A101" s="74" t="s">
        <v>139</v>
      </c>
      <c r="B101" s="548" t="s">
        <v>127</v>
      </c>
      <c r="C101" s="76"/>
    </row>
    <row r="102" spans="1:3" ht="39.6">
      <c r="A102" s="81" t="str">
        <f>HYPERLINK("#"&amp;"EQ4.1","LEED Credit(s) aligns closely with HPSB:")</f>
        <v>LEED Credit(s) aligns closely with HPSB:</v>
      </c>
      <c r="B102" s="557" t="s">
        <v>190</v>
      </c>
      <c r="C102" s="61" t="s">
        <v>118</v>
      </c>
    </row>
    <row r="103" spans="1:3" ht="24" customHeight="1">
      <c r="A103" s="82" t="s">
        <v>130</v>
      </c>
      <c r="B103" s="556" t="s">
        <v>129</v>
      </c>
      <c r="C103" s="97"/>
    </row>
    <row r="104" spans="1:3" ht="39.6">
      <c r="A104" s="72" t="str">
        <f>HYPERLINK("#"&amp;"HPSBIV.7","HPSB IV.7: Protect Indoor Air Quality during Construction")</f>
        <v>HPSB IV.7: Protect Indoor Air Quality during Construction</v>
      </c>
      <c r="B104" s="547" t="s">
        <v>191</v>
      </c>
      <c r="C104" s="80" t="s">
        <v>125</v>
      </c>
    </row>
    <row r="105" spans="1:3" ht="24">
      <c r="A105" s="74" t="s">
        <v>139</v>
      </c>
      <c r="B105" s="548" t="s">
        <v>127</v>
      </c>
      <c r="C105" s="76"/>
    </row>
    <row r="106" spans="1:3" ht="26.4">
      <c r="A106" s="81" t="str">
        <f>HYPERLINK("#"&amp;"EQ3.1","LEED Credit(s) aligns closely with HPSB:")</f>
        <v>LEED Credit(s) aligns closely with HPSB:</v>
      </c>
      <c r="B106" s="557" t="s">
        <v>192</v>
      </c>
      <c r="C106" s="61" t="s">
        <v>118</v>
      </c>
    </row>
    <row r="107" spans="1:3" ht="24.75" customHeight="1">
      <c r="A107" s="82" t="s">
        <v>130</v>
      </c>
      <c r="B107" s="556" t="s">
        <v>129</v>
      </c>
      <c r="C107" s="97"/>
    </row>
    <row r="108" spans="1:3" ht="52.8">
      <c r="A108" s="72" t="str">
        <f>HYPERLINK("#"&amp;"HPSBIV.8","HPSB IV.8: Protect Indoor Air Quality after Construction")</f>
        <v>HPSB IV.8: Protect Indoor Air Quality after Construction</v>
      </c>
      <c r="B108" s="547" t="s">
        <v>193</v>
      </c>
      <c r="C108" s="80" t="s">
        <v>125</v>
      </c>
    </row>
    <row r="109" spans="1:3" ht="24">
      <c r="A109" s="74" t="s">
        <v>139</v>
      </c>
      <c r="B109" s="548" t="s">
        <v>127</v>
      </c>
      <c r="C109" s="76"/>
    </row>
    <row r="110" spans="1:3" ht="26.4">
      <c r="A110" s="81" t="str">
        <f>HYPERLINK("#"&amp;"EQ3.2","LEED Credit(s) aligns closely with HPSB:")</f>
        <v>LEED Credit(s) aligns closely with HPSB:</v>
      </c>
      <c r="B110" s="557" t="s">
        <v>194</v>
      </c>
      <c r="C110" s="61" t="s">
        <v>118</v>
      </c>
    </row>
    <row r="111" spans="1:3" ht="24" customHeight="1">
      <c r="A111" s="82" t="s">
        <v>130</v>
      </c>
      <c r="B111" s="556" t="s">
        <v>129</v>
      </c>
      <c r="C111" s="97"/>
    </row>
    <row r="112" spans="1:3" ht="39.6">
      <c r="A112" s="72" t="str">
        <f>HYPERLINK("#"&amp;"HPSBIV.9","HPSB IV.9: Environmental Tobacco Smoke (ETS) Control")</f>
        <v>HPSB IV.9: Environmental Tobacco Smoke (ETS) Control</v>
      </c>
      <c r="B112" s="547" t="s">
        <v>195</v>
      </c>
      <c r="C112" s="80" t="s">
        <v>125</v>
      </c>
    </row>
    <row r="113" spans="1:3" ht="30.6">
      <c r="A113" s="74" t="s">
        <v>139</v>
      </c>
      <c r="B113" s="557" t="s">
        <v>196</v>
      </c>
      <c r="C113" s="63" t="s">
        <v>197</v>
      </c>
    </row>
    <row r="114" spans="1:3" ht="24">
      <c r="A114" s="77" t="s">
        <v>128</v>
      </c>
      <c r="B114" s="558" t="s">
        <v>129</v>
      </c>
      <c r="C114" s="93"/>
    </row>
    <row r="115" spans="1:3" ht="23.25" customHeight="1">
      <c r="A115" s="90" t="str">
        <f>HYPERLINK("#"&amp;"EQPR2","LEED Credit(s) meet HPSB:")</f>
        <v>LEED Credit(s) meet HPSB:</v>
      </c>
      <c r="B115" s="559" t="s">
        <v>198</v>
      </c>
      <c r="C115" s="91" t="s">
        <v>118</v>
      </c>
    </row>
    <row r="116" spans="1:3">
      <c r="A116" s="69"/>
      <c r="B116" s="553" t="s">
        <v>199</v>
      </c>
      <c r="C116" s="70"/>
    </row>
    <row r="117" spans="1:3" ht="92.4">
      <c r="A117" s="72" t="str">
        <f>HYPERLINK("#"&amp;"HPSBV.1","HPSB V.1: Recycled Content")</f>
        <v>HPSB V.1: Recycled Content</v>
      </c>
      <c r="B117" s="547" t="s">
        <v>200</v>
      </c>
      <c r="C117" s="80" t="s">
        <v>201</v>
      </c>
    </row>
    <row r="118" spans="1:3" ht="26.4">
      <c r="A118" s="74" t="s">
        <v>139</v>
      </c>
      <c r="B118" s="548" t="s">
        <v>202</v>
      </c>
      <c r="C118" s="98" t="s">
        <v>203</v>
      </c>
    </row>
    <row r="119" spans="1:3" ht="26.4">
      <c r="A119" s="81" t="str">
        <f>HYPERLINK("#"&amp;"MR4.1","LEED Credit(s) aligns closely with HPSB:")</f>
        <v>LEED Credit(s) aligns closely with HPSB:</v>
      </c>
      <c r="B119" s="557" t="s">
        <v>204</v>
      </c>
      <c r="C119" s="61" t="s">
        <v>118</v>
      </c>
    </row>
    <row r="120" spans="1:3" ht="24" customHeight="1">
      <c r="A120" s="82" t="s">
        <v>130</v>
      </c>
      <c r="B120" s="556" t="s">
        <v>129</v>
      </c>
      <c r="C120" s="97"/>
    </row>
    <row r="121" spans="1:3" ht="105.6">
      <c r="A121" s="94" t="str">
        <f>HYPERLINK("#"&amp;"HPSBV.2","HPSB V.2: Biobased Content")</f>
        <v>HPSB V.2: Biobased Content</v>
      </c>
      <c r="B121" s="548" t="s">
        <v>205</v>
      </c>
      <c r="C121" s="63" t="s">
        <v>206</v>
      </c>
    </row>
    <row r="122" spans="1:3" ht="26.4">
      <c r="A122" s="74" t="s">
        <v>139</v>
      </c>
      <c r="B122" s="548" t="s">
        <v>207</v>
      </c>
      <c r="C122" s="99" t="s">
        <v>208</v>
      </c>
    </row>
    <row r="123" spans="1:3" ht="26.4">
      <c r="A123" s="81" t="str">
        <f>HYPERLINK("#"&amp;"MR6.1","LEED Credit(s) aligns closely with HPSB:")</f>
        <v>LEED Credit(s) aligns closely with HPSB:</v>
      </c>
      <c r="B123" s="557" t="s">
        <v>209</v>
      </c>
      <c r="C123" s="61" t="s">
        <v>118</v>
      </c>
    </row>
    <row r="124" spans="1:3" ht="24" customHeight="1">
      <c r="A124" s="82" t="s">
        <v>130</v>
      </c>
      <c r="B124" s="559" t="s">
        <v>129</v>
      </c>
      <c r="C124" s="97"/>
    </row>
    <row r="125" spans="1:3" ht="66">
      <c r="A125" s="94" t="str">
        <f>HYPERLINK("#"&amp;"HPSBV.3","HPSB V.3: Environmentally Preferable Products")</f>
        <v>HPSB V.3: Environmentally Preferable Products</v>
      </c>
      <c r="B125" s="548" t="s">
        <v>210</v>
      </c>
      <c r="C125" s="63" t="s">
        <v>211</v>
      </c>
    </row>
    <row r="126" spans="1:3" ht="24">
      <c r="A126" s="74" t="s">
        <v>139</v>
      </c>
      <c r="B126" s="548" t="s">
        <v>127</v>
      </c>
      <c r="C126" s="63"/>
    </row>
    <row r="127" spans="1:3" ht="24">
      <c r="A127" s="77" t="s">
        <v>128</v>
      </c>
      <c r="B127" s="548" t="s">
        <v>129</v>
      </c>
      <c r="C127" s="63"/>
    </row>
    <row r="128" spans="1:3" ht="24" customHeight="1">
      <c r="A128" s="82" t="s">
        <v>130</v>
      </c>
      <c r="B128" s="555" t="s">
        <v>129</v>
      </c>
      <c r="C128" s="87"/>
    </row>
    <row r="129" spans="1:3" ht="39.6">
      <c r="A129" s="72" t="str">
        <f>HYPERLINK("#"&amp;"HPSBV.4","HPSB V.4: Waste and Materials Management - Recycling")</f>
        <v>HPSB V.4: Waste and Materials Management - Recycling</v>
      </c>
      <c r="B129" s="547" t="s">
        <v>212</v>
      </c>
      <c r="C129" s="80" t="s">
        <v>125</v>
      </c>
    </row>
    <row r="130" spans="1:3" ht="26.4">
      <c r="A130" s="74" t="s">
        <v>139</v>
      </c>
      <c r="B130" s="557" t="s">
        <v>213</v>
      </c>
      <c r="C130" s="63" t="s">
        <v>214</v>
      </c>
    </row>
    <row r="131" spans="1:3" ht="24">
      <c r="A131" s="77" t="s">
        <v>128</v>
      </c>
      <c r="B131" s="558" t="s">
        <v>129</v>
      </c>
      <c r="C131" s="93"/>
    </row>
    <row r="132" spans="1:3" ht="23.25" customHeight="1">
      <c r="A132" s="90" t="str">
        <f>HYPERLINK("#"&amp;"MRPR1","LEED Credit(s) meet HPSB:")</f>
        <v>LEED Credit(s) meet HPSB:</v>
      </c>
      <c r="B132" s="559" t="s">
        <v>215</v>
      </c>
      <c r="C132" s="91" t="s">
        <v>118</v>
      </c>
    </row>
    <row r="133" spans="1:3" ht="92.4">
      <c r="A133" s="72" t="str">
        <f>HYPERLINK("#"&amp;"HPSBV.5","HPSB V.5: Waste and Materials Management, Divert 50% from Disposal")</f>
        <v>HPSB V.5: Waste and Materials Management, Divert 50% from Disposal</v>
      </c>
      <c r="B133" s="547" t="s">
        <v>216</v>
      </c>
      <c r="C133" s="80" t="s">
        <v>125</v>
      </c>
    </row>
    <row r="134" spans="1:3" ht="24">
      <c r="A134" s="74" t="s">
        <v>139</v>
      </c>
      <c r="B134" s="548" t="s">
        <v>127</v>
      </c>
      <c r="C134" s="76"/>
    </row>
    <row r="135" spans="1:3" ht="24">
      <c r="A135" s="77" t="s">
        <v>128</v>
      </c>
      <c r="B135" s="548" t="s">
        <v>129</v>
      </c>
      <c r="C135" s="76"/>
    </row>
    <row r="136" spans="1:3" ht="23.25" customHeight="1">
      <c r="A136" s="92" t="str">
        <f>HYPERLINK("#"&amp;"MR2.1","LEED Credit(s) meet HPSB:")</f>
        <v>LEED Credit(s) meet HPSB:</v>
      </c>
      <c r="B136" s="557" t="s">
        <v>217</v>
      </c>
      <c r="C136" s="61" t="s">
        <v>118</v>
      </c>
    </row>
    <row r="137" spans="1:3" ht="66">
      <c r="A137" s="72" t="str">
        <f>HYPERLINK("#"&amp;"HPSBV.6","HPSB V.6: Ozone Depleting Compounds")</f>
        <v>HPSB V.6: Ozone Depleting Compounds</v>
      </c>
      <c r="B137" s="547" t="s">
        <v>218</v>
      </c>
      <c r="C137" s="80" t="s">
        <v>125</v>
      </c>
    </row>
    <row r="138" spans="1:3" ht="24">
      <c r="A138" s="74" t="s">
        <v>139</v>
      </c>
      <c r="B138" s="548" t="s">
        <v>127</v>
      </c>
      <c r="C138" s="76"/>
    </row>
    <row r="139" spans="1:3" ht="24">
      <c r="A139" s="81" t="str">
        <f>HYPERLINK("#"&amp;"EA4.1","LEED Credit(s) aligns closely with HPSB:")</f>
        <v>LEED Credit(s) aligns closely with HPSB:</v>
      </c>
      <c r="B139" s="548" t="s">
        <v>219</v>
      </c>
      <c r="C139" s="61" t="s">
        <v>118</v>
      </c>
    </row>
    <row r="140" spans="1:3" ht="23.25" customHeight="1" thickBot="1">
      <c r="A140" s="100" t="str">
        <f>HYPERLINK("#"&amp;"EAPR3","LEED Credit(s) meet HPSB:")</f>
        <v>LEED Credit(s) meet HPSB:</v>
      </c>
      <c r="B140" s="560" t="s">
        <v>220</v>
      </c>
      <c r="C140" s="101"/>
    </row>
  </sheetData>
  <sheetProtection sheet="1" objects="1" scenarios="1" insertHyperlinks="0"/>
  <mergeCells count="1">
    <mergeCell ref="A1:B1"/>
  </mergeCells>
  <hyperlinks>
    <hyperlink ref="C2" r:id="rId1"/>
    <hyperlink ref="C60" r:id="rId2"/>
    <hyperlink ref="C59" r:id="rId3"/>
    <hyperlink ref="C63" r:id="rId4"/>
    <hyperlink ref="C55" r:id="rId5"/>
    <hyperlink ref="C51" r:id="rId6"/>
    <hyperlink ref="C13" r:id="rId7"/>
    <hyperlink ref="C18" r:id="rId8"/>
    <hyperlink ref="C137" r:id="rId9"/>
    <hyperlink ref="C27" r:id="rId10"/>
    <hyperlink ref="C30" r:id="rId11"/>
    <hyperlink ref="C34" r:id="rId12"/>
    <hyperlink ref="C35" r:id="rId13"/>
    <hyperlink ref="C129" r:id="rId14"/>
    <hyperlink ref="C130" r:id="rId15"/>
    <hyperlink ref="C133" r:id="rId16"/>
    <hyperlink ref="C117" r:id="rId17" display="EPA's Comprehensive Procurement Website"/>
    <hyperlink ref="C121" r:id="rId18"/>
    <hyperlink ref="C84" r:id="rId19"/>
    <hyperlink ref="C80" r:id="rId20"/>
    <hyperlink ref="C112" r:id="rId21"/>
    <hyperlink ref="C113" r:id="rId22"/>
    <hyperlink ref="C100" r:id="rId23"/>
    <hyperlink ref="C96" r:id="rId24"/>
    <hyperlink ref="C9" r:id="rId25"/>
    <hyperlink ref="C22" r:id="rId26"/>
    <hyperlink ref="C67" r:id="rId27"/>
    <hyperlink ref="C68" r:id="rId28"/>
    <hyperlink ref="C71" r:id="rId29"/>
    <hyperlink ref="C75" r:id="rId30"/>
    <hyperlink ref="C125" r:id="rId31"/>
    <hyperlink ref="C42" r:id="rId32"/>
    <hyperlink ref="C46" r:id="rId33"/>
    <hyperlink ref="C64" r:id="rId34"/>
    <hyperlink ref="C26" r:id="rId35"/>
    <hyperlink ref="C108" r:id="rId36"/>
    <hyperlink ref="C19" r:id="rId37"/>
    <hyperlink ref="C52" r:id="rId38"/>
    <hyperlink ref="C88" r:id="rId39"/>
    <hyperlink ref="C89" r:id="rId40"/>
    <hyperlink ref="C3" r:id="rId41"/>
    <hyperlink ref="C15" r:id="rId42"/>
    <hyperlink ref="C20" r:id="rId43"/>
    <hyperlink ref="C32" r:id="rId44"/>
    <hyperlink ref="C36" r:id="rId45"/>
    <hyperlink ref="C54" r:id="rId46"/>
    <hyperlink ref="C58" r:id="rId47"/>
    <hyperlink ref="C62" r:id="rId48"/>
    <hyperlink ref="C87" r:id="rId49"/>
    <hyperlink ref="C83" r:id="rId50"/>
    <hyperlink ref="C98" r:id="rId51"/>
    <hyperlink ref="C102" r:id="rId52"/>
    <hyperlink ref="C106" r:id="rId53"/>
    <hyperlink ref="C110" r:id="rId54"/>
    <hyperlink ref="C115" r:id="rId55"/>
    <hyperlink ref="C119" r:id="rId56"/>
    <hyperlink ref="C123" r:id="rId57"/>
    <hyperlink ref="C132" r:id="rId58"/>
    <hyperlink ref="C136" r:id="rId59"/>
    <hyperlink ref="C139" r:id="rId60"/>
    <hyperlink ref="C118" r:id="rId61"/>
    <hyperlink ref="C94" r:id="rId62"/>
    <hyperlink ref="C65" r:id="rId63"/>
    <hyperlink ref="C122" r:id="rId64"/>
    <hyperlink ref="C28" r:id="rId65"/>
    <hyperlink ref="C39" r:id="rId66"/>
    <hyperlink ref="C38" r:id="rId67"/>
  </hyperlinks>
  <pageMargins left="0.25" right="0.25" top="0.5" bottom="0.25" header="0.25" footer="0.25"/>
  <pageSetup scale="83" fitToHeight="6" orientation="portrait" r:id="rId68"/>
  <headerFooter alignWithMargins="0">
    <oddFooter>&amp;C&amp;P</oddFooter>
  </headerFooter>
  <rowBreaks count="3" manualBreakCount="3">
    <brk id="16" max="16383" man="1"/>
    <brk id="62" max="16383" man="1"/>
    <brk id="1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108</vt:i4>
      </vt:variant>
    </vt:vector>
  </HeadingPairs>
  <TitlesOfParts>
    <vt:vector size="114" baseType="lpstr">
      <vt:lpstr>E&amp;S_RECORD_CARD</vt:lpstr>
      <vt:lpstr>Building_Data</vt:lpstr>
      <vt:lpstr>Mandates_Worksheet</vt:lpstr>
      <vt:lpstr>HPSB_Guiding_Principles_Wksht</vt:lpstr>
      <vt:lpstr>LEED_Worksheet</vt:lpstr>
      <vt:lpstr>HELP</vt:lpstr>
      <vt:lpstr>Align</vt:lpstr>
      <vt:lpstr>LEED_Worksheet!EA1.1</vt:lpstr>
      <vt:lpstr>LEED_Worksheet!EA2.1</vt:lpstr>
      <vt:lpstr>LEED_Worksheet!EA3.1</vt:lpstr>
      <vt:lpstr>LEED_Worksheet!EA4.1</vt:lpstr>
      <vt:lpstr>LEED_Worksheet!EA5.1</vt:lpstr>
      <vt:lpstr>LEED_Worksheet!EAPR1</vt:lpstr>
      <vt:lpstr>LEED_Worksheet!EAPR2</vt:lpstr>
      <vt:lpstr>LEED_Worksheet!EAPR3</vt:lpstr>
      <vt:lpstr>EISA2007II.7</vt:lpstr>
      <vt:lpstr>EISA2007II.7_Ref</vt:lpstr>
      <vt:lpstr>EISA2007II.8</vt:lpstr>
      <vt:lpstr>EISA2007II.8_Ref</vt:lpstr>
      <vt:lpstr>Energy_Water</vt:lpstr>
      <vt:lpstr>LEED_Worksheet!EQ3.1</vt:lpstr>
      <vt:lpstr>LEED_Worksheet!EQ3.2</vt:lpstr>
      <vt:lpstr>LEED_Worksheet!EQ4.1</vt:lpstr>
      <vt:lpstr>LEED_Worksheet!EQ6.1</vt:lpstr>
      <vt:lpstr>LEED_Worksheet!EQ7.1</vt:lpstr>
      <vt:lpstr>LEED_Worksheet!EQ8.1</vt:lpstr>
      <vt:lpstr>LEED_Worksheet!EQPR1</vt:lpstr>
      <vt:lpstr>LEED_Worksheet!EQPR2</vt:lpstr>
      <vt:lpstr>HPSBI.1</vt:lpstr>
      <vt:lpstr>HPSBI.1_Ref</vt:lpstr>
      <vt:lpstr>HPSBI.2</vt:lpstr>
      <vt:lpstr>HPSBI.2_Ref</vt:lpstr>
      <vt:lpstr>HPSBII.1</vt:lpstr>
      <vt:lpstr>HPSBII.1_Ref</vt:lpstr>
      <vt:lpstr>HPSBII.2</vt:lpstr>
      <vt:lpstr>HPSBII.2_Ref</vt:lpstr>
      <vt:lpstr>HPSBII.3</vt:lpstr>
      <vt:lpstr>HPSBII.3_Ref</vt:lpstr>
      <vt:lpstr>HPSBII.4</vt:lpstr>
      <vt:lpstr>HPSBII.4_Ref</vt:lpstr>
      <vt:lpstr>HPSBII.5</vt:lpstr>
      <vt:lpstr>HPSBII.5_Ref</vt:lpstr>
      <vt:lpstr>HPSBII.6</vt:lpstr>
      <vt:lpstr>HPSBII.6_Ref</vt:lpstr>
      <vt:lpstr>HPSBII.7</vt:lpstr>
      <vt:lpstr>HPSBII.7_Ref</vt:lpstr>
      <vt:lpstr>HPSBII.8</vt:lpstr>
      <vt:lpstr>HPSBII.8_Ref</vt:lpstr>
      <vt:lpstr>HPSBIII.1</vt:lpstr>
      <vt:lpstr>HPSBIII.1_Ref</vt:lpstr>
      <vt:lpstr>HPSBIII.2</vt:lpstr>
      <vt:lpstr>HPSBIII.2_Ref</vt:lpstr>
      <vt:lpstr>HPSBIII.3</vt:lpstr>
      <vt:lpstr>HPSBIII.3_Ref</vt:lpstr>
      <vt:lpstr>HPSBIII.4</vt:lpstr>
      <vt:lpstr>HPSBIII.4_Ref</vt:lpstr>
      <vt:lpstr>HPSBIII.5</vt:lpstr>
      <vt:lpstr>HPSBIII.5_Ref</vt:lpstr>
      <vt:lpstr>HPSBIII.6</vt:lpstr>
      <vt:lpstr>HPSBIII.6_Ref</vt:lpstr>
      <vt:lpstr>HPSBIII.7</vt:lpstr>
      <vt:lpstr>HPSBIII.7_Ref</vt:lpstr>
      <vt:lpstr>HPSBIV.1</vt:lpstr>
      <vt:lpstr>HPSBIV.1_Ref</vt:lpstr>
      <vt:lpstr>HPSBIV.2</vt:lpstr>
      <vt:lpstr>HPSBIV.2_Ref</vt:lpstr>
      <vt:lpstr>HPSBIV.3</vt:lpstr>
      <vt:lpstr>HPSBIV.3_Ref</vt:lpstr>
      <vt:lpstr>HPSBIV.4</vt:lpstr>
      <vt:lpstr>HPSBIV.4_Ref</vt:lpstr>
      <vt:lpstr>HPSBIV.5</vt:lpstr>
      <vt:lpstr>HPSBIV.5_Ref</vt:lpstr>
      <vt:lpstr>HPSBIV.6</vt:lpstr>
      <vt:lpstr>HPSBIV.6_Ref</vt:lpstr>
      <vt:lpstr>HPSBIV.7</vt:lpstr>
      <vt:lpstr>HPSBIV.7_Ref</vt:lpstr>
      <vt:lpstr>HPSBIV.8</vt:lpstr>
      <vt:lpstr>HPSBIV.8_Ref</vt:lpstr>
      <vt:lpstr>HPSBIV.9</vt:lpstr>
      <vt:lpstr>HPSBIV.9_Ref</vt:lpstr>
      <vt:lpstr>HPSBV.1</vt:lpstr>
      <vt:lpstr>HPSBV.1_Ref</vt:lpstr>
      <vt:lpstr>HPSBV.2</vt:lpstr>
      <vt:lpstr>HPSBV.2_Ref</vt:lpstr>
      <vt:lpstr>HPSBV.3</vt:lpstr>
      <vt:lpstr>HPSBV.3_Ref</vt:lpstr>
      <vt:lpstr>HPSBV.4</vt:lpstr>
      <vt:lpstr>HPSBV.4_Ref</vt:lpstr>
      <vt:lpstr>HPSBV.5</vt:lpstr>
      <vt:lpstr>HPSBV.5_Ref</vt:lpstr>
      <vt:lpstr>HPSBV.6</vt:lpstr>
      <vt:lpstr>HPSBV.6_Ref</vt:lpstr>
      <vt:lpstr>Meet</vt:lpstr>
      <vt:lpstr>LEED_Worksheet!MR2.1</vt:lpstr>
      <vt:lpstr>LEED_Worksheet!MR4.1</vt:lpstr>
      <vt:lpstr>LEED_Worksheet!MR6.1</vt:lpstr>
      <vt:lpstr>LEED_Worksheet!MRPR1</vt:lpstr>
      <vt:lpstr>Mandates_Worksheet!OLE_LINK3</vt:lpstr>
      <vt:lpstr>OtherII.7</vt:lpstr>
      <vt:lpstr>OtherII.7_Ref</vt:lpstr>
      <vt:lpstr>OtherII.8</vt:lpstr>
      <vt:lpstr>OtherII.8_Ref</vt:lpstr>
      <vt:lpstr>Building_Data!Print_Area</vt:lpstr>
      <vt:lpstr>'E&amp;S_RECORD_CARD'!Print_Area</vt:lpstr>
      <vt:lpstr>HPSB_Guiding_Principles_Wksht!Print_Area</vt:lpstr>
      <vt:lpstr>LEED_Worksheet!Print_Area</vt:lpstr>
      <vt:lpstr>Mandates_Worksheet!Print_Area</vt:lpstr>
      <vt:lpstr>HELP!Print_Titles</vt:lpstr>
      <vt:lpstr>LEED_Worksheet!SS6.1</vt:lpstr>
      <vt:lpstr>LEED_Worksheet!SS6.2</vt:lpstr>
      <vt:lpstr>LEED_Worksheet!SSPR1</vt:lpstr>
      <vt:lpstr>LEED_Worksheet!WE1.1</vt:lpstr>
      <vt:lpstr>LEED_Worksheet!WE3.1</vt:lpstr>
      <vt:lpstr>LEED_Worksheet!WEPR1</vt:lpstr>
    </vt:vector>
  </TitlesOfParts>
  <Company>USACE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Energy &amp; Sustainability Summary</dc:title>
  <dc:creator>Eric Mucklow, AIA, LEED AP BD+C</dc:creator>
  <cp:keywords>Energy Efficiency;energy projects;military energy use;net zero energy military installations;site energy use;Renewable Energy;reduce energy consumption;Office of Energy Efficiency and Renewable Energy  (EERE);Implementation and Follow-up of Identified Energy and Water Efficiency Measures;Federal Energy Management Program (FEMP);Low Impact Design;EISA 2007;EPAct 2005;EO 13423;EO 13514;Mucklow</cp:keywords>
  <cp:lastModifiedBy>K6ENXJFM</cp:lastModifiedBy>
  <cp:lastPrinted>2014-07-09T19:41:45Z</cp:lastPrinted>
  <dcterms:created xsi:type="dcterms:W3CDTF">2002-09-13T14:08:37Z</dcterms:created>
  <dcterms:modified xsi:type="dcterms:W3CDTF">2014-07-09T19:57:07Z</dcterms:modified>
</cp:coreProperties>
</file>